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4.xml" ContentType="application/vnd.ms-excel.controlproperties+xml"/>
  <Override PartName="/xl/ctrlProps/ctrlProp25.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K2d-server\E\OneDrive\ASJ Backup_03.04.2020\Rainbow\RFL\Stock Exchange\Shareholding Pattern\2023-24\Q4_March 2024\XBRL\"/>
    </mc:Choice>
  </mc:AlternateContent>
  <bookViews>
    <workbookView xWindow="-120" yWindow="-120" windowWidth="20730" windowHeight="11160" tabRatio="907" activeTab="5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62913"/>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6" i="34" l="1"/>
  <c r="U16" i="34"/>
  <c r="O16" i="34"/>
  <c r="Q16" i="34" s="1"/>
  <c r="M16" i="34"/>
  <c r="X15" i="34"/>
  <c r="U15" i="34"/>
  <c r="O15" i="34"/>
  <c r="Q15" i="34" s="1"/>
  <c r="M15" i="34"/>
  <c r="AC18" i="71"/>
  <c r="V18" i="71"/>
  <c r="S18" i="71"/>
  <c r="M18" i="71"/>
  <c r="O18" i="71" s="1"/>
  <c r="K18" i="71"/>
  <c r="AC17" i="71"/>
  <c r="V17" i="71"/>
  <c r="S17" i="71"/>
  <c r="M17" i="71"/>
  <c r="O17" i="71" s="1"/>
  <c r="K17" i="71"/>
  <c r="AC16" i="71"/>
  <c r="V16" i="71"/>
  <c r="S16" i="71"/>
  <c r="M16" i="71"/>
  <c r="O16" i="71" s="1"/>
  <c r="K16" i="71"/>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X29" i="2"/>
  <c r="V29" i="2"/>
  <c r="S29" i="2"/>
  <c r="M29" i="2"/>
  <c r="O29" i="2" s="1"/>
  <c r="K29" i="2"/>
  <c r="X28" i="2"/>
  <c r="V28" i="2"/>
  <c r="S28" i="2"/>
  <c r="M28" i="2"/>
  <c r="O28" i="2" s="1"/>
  <c r="K28" i="2"/>
  <c r="X27" i="2"/>
  <c r="V27" i="2"/>
  <c r="S27" i="2"/>
  <c r="M27" i="2"/>
  <c r="O27" i="2" s="1"/>
  <c r="K27" i="2"/>
  <c r="X26" i="2"/>
  <c r="V26" i="2"/>
  <c r="S26" i="2"/>
  <c r="M26" i="2"/>
  <c r="O26" i="2" s="1"/>
  <c r="K26" i="2"/>
  <c r="X25" i="2"/>
  <c r="V25" i="2"/>
  <c r="S25" i="2"/>
  <c r="M25" i="2"/>
  <c r="O25" i="2" s="1"/>
  <c r="K25" i="2"/>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20" i="71" l="1"/>
  <c r="Z20" i="71"/>
  <c r="Y20"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20" i="71"/>
  <c r="W20" i="71"/>
  <c r="U20" i="71"/>
  <c r="S20" i="71"/>
  <c r="R20" i="71"/>
  <c r="Q20" i="71"/>
  <c r="N20" i="71"/>
  <c r="K20" i="71"/>
  <c r="J20" i="71"/>
  <c r="I20" i="71"/>
  <c r="H20"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20"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20"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8" i="34" l="1"/>
  <c r="K16" i="24"/>
  <c r="I16" i="24"/>
  <c r="I3" i="24"/>
  <c r="J16" i="24" l="1"/>
  <c r="L16" i="24"/>
  <c r="L3" i="24"/>
  <c r="K3" i="24"/>
  <c r="J3" i="24"/>
  <c r="G16" i="38" l="1"/>
  <c r="H16" i="36"/>
  <c r="AA16" i="15" l="1"/>
  <c r="Y16" i="15"/>
  <c r="W16" i="15"/>
  <c r="T16" i="15"/>
  <c r="P16" i="15"/>
  <c r="L16" i="15"/>
  <c r="K16" i="15"/>
  <c r="I16" i="15"/>
  <c r="AA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6" i="5" l="1"/>
  <c r="Z70" i="1"/>
  <c r="Z71" i="1" s="1"/>
  <c r="O70" i="1" l="1"/>
  <c r="O71" i="1" s="1"/>
  <c r="U16" i="5"/>
  <c r="S16" i="5"/>
  <c r="U16" i="15" l="1"/>
  <c r="S16" i="15"/>
  <c r="W16" i="5"/>
  <c r="M16" i="15"/>
  <c r="Q16" i="15"/>
  <c r="J16" i="15"/>
  <c r="M16" i="5"/>
  <c r="Q16" i="5"/>
  <c r="O16" i="5"/>
  <c r="X16" i="5" l="1"/>
  <c r="X16" i="15"/>
  <c r="Z16" i="15"/>
  <c r="Y16" i="5"/>
  <c r="Z16"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8" i="34" l="1"/>
  <c r="L18" i="34"/>
  <c r="K18" i="34"/>
  <c r="J3" i="34"/>
  <c r="V16" i="25"/>
  <c r="AC13" i="11"/>
  <c r="N13" i="5"/>
  <c r="V13" i="5"/>
  <c r="T13" i="3"/>
  <c r="L13" i="2"/>
  <c r="L13" i="4"/>
  <c r="T13" i="4"/>
  <c r="AC13" i="6"/>
  <c r="AC13" i="16"/>
  <c r="AC13" i="14"/>
  <c r="AC13" i="18"/>
  <c r="M18"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31" i="2"/>
  <c r="Z14" i="1" s="1"/>
  <c r="W31" i="2"/>
  <c r="U31" i="2"/>
  <c r="R31" i="2"/>
  <c r="S14" i="1" s="1"/>
  <c r="Q31" i="2"/>
  <c r="R14" i="1" s="1"/>
  <c r="J31" i="2"/>
  <c r="K14" i="1" s="1"/>
  <c r="I31" i="2"/>
  <c r="J14" i="1" s="1"/>
  <c r="S31" i="2"/>
  <c r="T14" i="1" s="1"/>
  <c r="K31" i="2"/>
  <c r="L14" i="1" l="1"/>
  <c r="X14" i="1"/>
  <c r="X31" i="2"/>
  <c r="V14" i="1"/>
  <c r="V31" i="2"/>
  <c r="J16" i="44"/>
  <c r="K77" i="1"/>
  <c r="J15" i="44" s="1"/>
  <c r="L75" i="1"/>
  <c r="W75" i="1" s="1"/>
  <c r="V16" i="44" s="1"/>
  <c r="J17" i="44"/>
  <c r="L76" i="1"/>
  <c r="S20" i="28"/>
  <c r="K20" i="28"/>
  <c r="V20" i="28" s="1"/>
  <c r="Y14" i="1" l="1"/>
  <c r="W14" i="1"/>
  <c r="K17" i="44"/>
  <c r="W76" i="1"/>
  <c r="V17" i="44" s="1"/>
  <c r="K16" i="44"/>
  <c r="L77" i="1"/>
  <c r="O31"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31" i="2"/>
  <c r="O14" i="1" s="1"/>
  <c r="M31" i="2"/>
  <c r="N14" i="1" s="1"/>
  <c r="H31"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V16" i="5"/>
  <c r="N16" i="5"/>
  <c r="M17" i="1"/>
  <c r="U17"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R16" i="5"/>
  <c r="P16" i="4"/>
  <c r="Q16" i="1" s="1"/>
  <c r="AG13" i="15" l="1"/>
  <c r="H24" i="1" s="1"/>
  <c r="Q17" i="1"/>
  <c r="AD13" i="5"/>
  <c r="AG13" i="5"/>
  <c r="H17"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71" l="1"/>
  <c r="P16" i="71"/>
  <c r="P17" i="71"/>
  <c r="R16" i="34"/>
  <c r="R15" i="34"/>
  <c r="P18" i="71"/>
  <c r="P18" i="28"/>
  <c r="P17" i="28"/>
  <c r="P15" i="28"/>
  <c r="P16" i="28"/>
  <c r="P27" i="2"/>
  <c r="P21" i="2"/>
  <c r="P20" i="2"/>
  <c r="P26" i="2"/>
  <c r="P23" i="2"/>
  <c r="P22" i="2"/>
  <c r="P24" i="2"/>
  <c r="P15" i="2"/>
  <c r="P25" i="2"/>
  <c r="P18" i="2"/>
  <c r="P29" i="2"/>
  <c r="P16" i="2"/>
  <c r="P28" i="2"/>
  <c r="P17" i="2"/>
  <c r="P19"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20" i="71"/>
  <c r="P16" i="53"/>
  <c r="P16" i="31"/>
  <c r="P16" i="22"/>
  <c r="P16" i="21"/>
  <c r="P16" i="20"/>
  <c r="P16" i="18"/>
  <c r="P16" i="17"/>
  <c r="P16" i="19"/>
  <c r="P16" i="25"/>
  <c r="P20" i="28"/>
  <c r="P16" i="33"/>
  <c r="P16" i="26"/>
  <c r="P16" i="23"/>
  <c r="Q18" i="1"/>
  <c r="P31"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L15" i="71" l="1"/>
  <c r="N16" i="34"/>
  <c r="T16" i="71"/>
  <c r="T15" i="71"/>
  <c r="N15" i="34"/>
  <c r="L17" i="71"/>
  <c r="L18" i="71"/>
  <c r="L16" i="71"/>
  <c r="V16" i="34"/>
  <c r="V15" i="34"/>
  <c r="T17" i="71"/>
  <c r="T18" i="71"/>
  <c r="L16" i="28"/>
  <c r="T16" i="28"/>
  <c r="T17" i="28"/>
  <c r="L18" i="28"/>
  <c r="T15" i="28"/>
  <c r="L17" i="28"/>
  <c r="T18" i="28"/>
  <c r="L15" i="28"/>
  <c r="T28" i="2"/>
  <c r="T26" i="2"/>
  <c r="T24" i="2"/>
  <c r="L24" i="2"/>
  <c r="L22" i="2"/>
  <c r="L20" i="2"/>
  <c r="L18" i="2"/>
  <c r="L15" i="2"/>
  <c r="L17" i="2"/>
  <c r="L27" i="2"/>
  <c r="T22" i="2"/>
  <c r="T16" i="2"/>
  <c r="L23" i="2"/>
  <c r="T25" i="2"/>
  <c r="T18" i="2"/>
  <c r="L19" i="2"/>
  <c r="T29" i="2"/>
  <c r="T27" i="2"/>
  <c r="L26" i="2"/>
  <c r="T23" i="2"/>
  <c r="T20" i="2"/>
  <c r="T17" i="2"/>
  <c r="L29" i="2"/>
  <c r="L25" i="2"/>
  <c r="T19" i="2"/>
  <c r="L16" i="2"/>
  <c r="L28" i="2"/>
  <c r="T21" i="2"/>
  <c r="L21" i="2"/>
  <c r="T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20" i="71"/>
  <c r="T16" i="60"/>
  <c r="L16" i="62"/>
  <c r="T16" i="70"/>
  <c r="T16" i="56"/>
  <c r="L16" i="60"/>
  <c r="L16" i="58"/>
  <c r="L16" i="54"/>
  <c r="T16" i="68"/>
  <c r="T16" i="69"/>
  <c r="T20"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31" i="2"/>
  <c r="U14" i="1"/>
  <c r="M18" i="1"/>
  <c r="T31"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28" i="2" l="1"/>
  <c r="AC23" i="2"/>
  <c r="AC26" i="2"/>
  <c r="AC25" i="2"/>
  <c r="AC19" i="2"/>
  <c r="AC15" i="2"/>
  <c r="AC24" i="2"/>
  <c r="AC29" i="2"/>
  <c r="AC18" i="2"/>
  <c r="AC16" i="2"/>
  <c r="AC27" i="2"/>
  <c r="AC20" i="2"/>
  <c r="AC21" i="2"/>
  <c r="AC17" i="2"/>
  <c r="AC22" i="2"/>
  <c r="AD13" i="6"/>
  <c r="H20" i="1" s="1"/>
  <c r="AD1" i="3"/>
  <c r="AD13" i="14"/>
  <c r="H23" i="1" s="1"/>
  <c r="V3" i="24"/>
  <c r="V16" i="24"/>
  <c r="V18"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8" i="34"/>
  <c r="AB18" i="34"/>
  <c r="AA18" i="34"/>
  <c r="N18" i="34"/>
  <c r="P18" i="34"/>
  <c r="O18" i="34"/>
  <c r="N3" i="34"/>
  <c r="O3" i="34"/>
  <c r="Q3" i="34"/>
  <c r="Q18" i="34"/>
  <c r="P3" i="34"/>
  <c r="U3" i="34"/>
  <c r="W18" i="34"/>
  <c r="X18" i="34" s="1"/>
  <c r="T18" i="34"/>
  <c r="Y18" i="34"/>
  <c r="S3" i="34"/>
  <c r="X3" i="34"/>
  <c r="Y3" i="34"/>
  <c r="W3" i="34"/>
  <c r="U18" i="34"/>
  <c r="T3" i="34"/>
  <c r="S18" i="34"/>
  <c r="R3" i="34"/>
  <c r="R18"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<sst xmlns="http://schemas.openxmlformats.org/spreadsheetml/2006/main" count="4589" uniqueCount="915">
  <si>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</si>
  <si>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</si>
  <si>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</si>
  <si>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</si>
  <si>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</si>
  <si>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</si>
  <si>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</si>
  <si>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</si>
  <si>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</si>
  <si>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</si>
  <si>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</si>
  <si>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</si>
  <si>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</si>
  <si>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</si>
  <si>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</si>
  <si>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</si>
  <si>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</si>
  <si>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</si>
  <si>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</si>
  <si>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</si>
  <si>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</si>
  <si>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</si>
  <si>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</si>
  <si>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</si>
  <si>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</si>
  <si>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</si>
  <si>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</si>
  <si>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</si>
  <si>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</si>
  <si>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</si>
  <si>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</si>
  <si>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</si>
  <si>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</si>
  <si>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</si>
  <si>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</si>
  <si>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</si>
  <si>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</si>
  <si>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</si>
  <si>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</si>
  <si>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</si>
  <si>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</si>
  <si>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</si>
  <si>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</si>
  <si>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</si>
  <si>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</si>
  <si>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</si>
  <si>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</si>
  <si>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</si>
  <si>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</si>
  <si>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</si>
  <si>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</si>
  <si>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</si>
  <si>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</si>
  <si>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</si>
  <si>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</si>
  <si>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</si>
  <si>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</si>
  <si>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</si>
  <si>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</si>
  <si>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</si>
  <si>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</si>
  <si>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</si>
  <si>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</si>
  <si>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</si>
  <si>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</si>
  <si>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</si>
  <si>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</si>
  <si>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</si>
  <si>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</si>
  <si>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</si>
  <si>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</si>
  <si>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</si>
  <si>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</si>
  <si>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</si>
  <si>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</si>
  <si>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</si>
  <si>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</si>
  <si>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</si>
  <si>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</si>
  <si>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</si>
  <si>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</si>
  <si>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</si>
  <si>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</si>
  <si>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</si>
  <si>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</si>
  <si>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</si>
  <si>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</si>
  <si>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</si>
  <si>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</si>
  <si>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</si>
  <si>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</si>
  <si>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</si>
  <si>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</si>
  <si>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</si>
  <si>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</si>
  <si>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</si>
  <si>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</si>
  <si>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</si>
  <si>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</si>
  <si>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</si>
  <si>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</si>
  <si>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</si>
  <si>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</si>
  <si>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</si>
  <si>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</si>
  <si>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</si>
  <si>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</si>
  <si>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</si>
  <si>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</si>
  <si>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</si>
  <si>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</si>
  <si>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</si>
  <si>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</si>
  <si>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</si>
  <si>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</si>
  <si>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</si>
  <si>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</si>
  <si>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</si>
  <si>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</si>
  <si>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</si>
  <si>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</si>
  <si>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</si>
  <si>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</si>
  <si>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</si>
  <si>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</si>
  <si>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</si>
  <si>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</si>
  <si>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</si>
  <si>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</si>
  <si>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</si>
  <si>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</si>
  <si>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</si>
  <si>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</si>
  <si>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</si>
  <si>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</si>
  <si>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</si>
  <si>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</si>
  <si>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</si>
  <si>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</si>
  <si>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</si>
  <si>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</si>
  <si>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</si>
  <si>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</si>
  <si>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</si>
  <si>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</si>
  <si>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</si>
  <si>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</si>
  <si>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</si>
  <si>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</si>
  <si>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</si>
  <si>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</si>
  <si>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</si>
  <si>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</si>
  <si>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</si>
  <si>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</si>
  <si>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</si>
  <si>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</si>
  <si>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</si>
  <si>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</si>
  <si>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</si>
  <si>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</si>
  <si>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</si>
  <si>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</si>
  <si>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</si>
  <si>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</si>
  <si>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</si>
  <si>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</si>
  <si>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</si>
  <si>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</si>
  <si>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</si>
  <si>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</si>
  <si>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</si>
  <si>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</si>
  <si>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</si>
  <si>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</si>
  <si>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</si>
  <si>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</si>
  <si>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</si>
  <si>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</si>
  <si>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</si>
  <si>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</si>
  <si>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</si>
  <si>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</si>
  <si>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</si>
  <si>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</si>
  <si>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</si>
  <si>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</si>
  <si>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</si>
  <si>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</si>
  <si>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</si>
  <si>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</si>
  <si>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</si>
  <si>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</si>
  <si>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</si>
  <si>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</si>
  <si>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</si>
  <si>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</si>
  <si>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</si>
  <si>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</si>
  <si>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</si>
  <si>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</si>
  <si>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</si>
  <si>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</si>
  <si>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</si>
  <si>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</si>
  <si>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</si>
  <si>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</si>
  <si>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</si>
  <si>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</si>
  <si>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</si>
  <si>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</si>
  <si>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</si>
  <si>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</si>
  <si>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</si>
  <si>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</si>
  <si>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</si>
  <si>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</si>
  <si>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</si>
  <si>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</si>
  <si>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</si>
  <si>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</si>
  <si>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</si>
  <si>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</si>
  <si>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</si>
  <si>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</si>
  <si>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</si>
  <si>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</si>
  <si>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</si>
  <si>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</si>
  <si>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</si>
  <si>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</si>
  <si>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</si>
  <si>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</si>
  <si>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</si>
  <si>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</si>
  <si>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</si>
  <si>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</si>
  <si>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</si>
  <si>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</si>
  <si>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</si>
  <si>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</si>
  <si>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</si>
  <si>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</si>
  <si>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</si>
  <si>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</si>
  <si>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</si>
  <si>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</si>
  <si>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</si>
  <si>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</si>
  <si>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</si>
  <si>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</si>
  <si>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</si>
  <si>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</si>
  <si>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</si>
  <si>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</si>
  <si>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</si>
  <si>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</si>
  <si>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</si>
  <si>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</si>
  <si>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</si>
  <si>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</si>
  <si>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</si>
  <si>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</si>
  <si>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</si>
  <si>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</si>
  <si>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</si>
  <si>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</si>
  <si>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</si>
  <si>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</si>
  <si>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</si>
  <si>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</si>
  <si>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</si>
  <si>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</si>
  <si>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</si>
  <si>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</si>
  <si>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</si>
  <si>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</si>
  <si>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</si>
  <si>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</si>
  <si>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</si>
  <si>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</si>
  <si>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</si>
  <si>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</si>
  <si>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</si>
  <si>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</si>
  <si>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</si>
  <si>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</si>
  <si>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</si>
  <si>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</si>
  <si>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</si>
  <si>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</si>
  <si>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</si>
  <si>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</si>
  <si>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</si>
  <si>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</si>
  <si>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</si>
  <si>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</si>
  <si>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</si>
  <si>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</si>
  <si>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</si>
  <si>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</si>
  <si>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</si>
  <si>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</si>
  <si>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</si>
  <si>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</si>
  <si>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</si>
  <si>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</si>
  <si>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</si>
  <si>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</si>
  <si>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</si>
  <si>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</si>
  <si>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</si>
  <si>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</si>
  <si>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</si>
  <si>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</si>
  <si>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</si>
  <si>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</si>
  <si>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</si>
  <si>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</si>
  <si>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</si>
  <si>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</si>
  <si>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</si>
  <si>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</si>
  <si>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</si>
  <si>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</si>
  <si>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</si>
  <si>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</si>
  <si>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</si>
  <si>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</si>
  <si>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</si>
  <si>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</si>
  <si>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</si>
  <si>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</si>
  <si>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</si>
  <si>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</si>
  <si>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</si>
  <si>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</si>
  <si>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</si>
  <si>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</si>
  <si>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</si>
  <si>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</si>
  <si>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</si>
  <si>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</si>
  <si>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</si>
  <si>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</si>
  <si>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</si>
  <si>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</si>
  <si>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</si>
  <si>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</si>
  <si>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</si>
  <si>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</si>
  <si>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</si>
  <si>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</si>
  <si>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</si>
  <si>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</si>
  <si>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</si>
  <si>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</si>
  <si>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</si>
  <si>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</si>
  <si>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</si>
  <si>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</si>
  <si>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</si>
  <si>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</si>
  <si>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</si>
  <si>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</si>
  <si>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</si>
  <si>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</si>
  <si>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</si>
  <si>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</si>
  <si>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</si>
  <si>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</si>
  <si>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</si>
  <si>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</si>
  <si>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</si>
  <si>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</si>
  <si>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</si>
  <si>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</si>
  <si>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</si>
  <si>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</si>
  <si>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</si>
  <si>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</si>
  <si>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</si>
  <si>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</si>
  <si>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</si>
  <si>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</si>
  <si>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</si>
  <si>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</si>
  <si>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</si>
  <si>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</si>
  <si>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</si>
  <si>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</si>
  <si>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</si>
  <si>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</si>
  <si>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</si>
  <si>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</si>
  <si>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</si>
  <si>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</si>
  <si>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</si>
  <si>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</si>
  <si>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</si>
  <si>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</si>
  <si>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</si>
  <si>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</si>
  <si>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</si>
  <si>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</si>
  <si>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</si>
  <si>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</si>
  <si>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</si>
  <si>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</si>
  <si>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</si>
  <si>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</si>
  <si>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</si>
  <si>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</si>
  <si>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</si>
  <si>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</si>
  <si>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</si>
  <si>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</si>
  <si>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</si>
  <si>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</si>
  <si>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</si>
  <si>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</si>
  <si>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</si>
  <si>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</si>
  <si>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</si>
  <si>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</si>
  <si>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</si>
  <si>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</si>
  <si>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</si>
  <si>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</si>
  <si>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</si>
  <si>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</si>
  <si>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</si>
  <si>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</si>
  <si>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</si>
  <si>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</si>
  <si>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</si>
  <si>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</si>
  <si>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</si>
  <si>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</si>
  <si>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</si>
  <si>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</si>
  <si>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</si>
  <si>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</si>
  <si>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</si>
  <si>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</si>
  <si>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</si>
  <si>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</si>
  <si>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</si>
  <si>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</si>
  <si>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</si>
  <si>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</si>
  <si>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</si>
  <si>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</si>
  <si>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</si>
  <si>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</si>
  <si>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</si>
  <si>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</si>
  <si>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</si>
  <si>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</si>
  <si>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</si>
  <si>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</si>
  <si>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</si>
  <si>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</si>
  <si>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</si>
  <si>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</si>
  <si>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</si>
  <si>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</si>
  <si>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</si>
  <si>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</si>
  <si>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</si>
  <si>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</si>
  <si>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</si>
  <si>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</si>
  <si>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</si>
  <si>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</si>
  <si>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</si>
  <si>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</si>
  <si>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</si>
  <si>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</si>
  <si>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</si>
  <si>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</si>
  <si>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</si>
  <si>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</si>
  <si>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</si>
  <si>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</si>
  <si>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</si>
  <si>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</si>
  <si>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</si>
  <si>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</si>
  <si>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</si>
  <si>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</si>
  <si>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</si>
  <si>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</si>
  <si>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</si>
  <si>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</si>
  <si>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</si>
  <si>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</si>
  <si>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</si>
  <si>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</si>
  <si>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</si>
  <si>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</si>
  <si>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</si>
  <si>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</si>
  <si>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</si>
  <si>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</si>
  <si>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</si>
  <si>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</si>
  <si>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</si>
  <si>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</si>
  <si>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</si>
  <si>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</si>
  <si>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</si>
  <si>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</si>
  <si>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</si>
  <si>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</si>
  <si>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</si>
  <si>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</si>
  <si>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</si>
  <si>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</si>
  <si>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</si>
  <si>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</si>
  <si>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</si>
  <si>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</si>
  <si>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</si>
  <si>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</si>
  <si>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</si>
  <si>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</si>
  <si>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</si>
  <si>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</si>
  <si>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</si>
  <si>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</si>
  <si>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</si>
  <si>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</si>
  <si>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</si>
  <si>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</si>
  <si>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</si>
  <si>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</si>
  <si>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</si>
  <si>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</si>
  <si>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</si>
  <si>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</si>
  <si>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</si>
  <si>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</si>
  <si>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</si>
  <si>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</si>
  <si>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</si>
  <si>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</si>
  <si>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</si>
  <si>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</si>
  <si>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</si>
  <si>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</si>
  <si>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</si>
  <si>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</si>
  <si>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</si>
  <si>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</si>
  <si>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</si>
  <si>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</si>
  <si>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</si>
  <si>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</si>
  <si>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</si>
  <si>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</si>
  <si>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</si>
  <si>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</si>
  <si>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</si>
  <si>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</si>
  <si>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</si>
  <si>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</si>
  <si>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</si>
  <si>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</si>
  <si>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</si>
  <si>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</si>
  <si>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</si>
  <si>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</si>
  <si>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</si>
  <si>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</si>
  <si>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</si>
  <si>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</si>
  <si>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</si>
  <si>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</si>
  <si>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</si>
  <si>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</si>
  <si>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</si>
  <si>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</si>
  <si>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</si>
  <si>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</si>
  <si>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</si>
  <si>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</si>
  <si>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</si>
  <si>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</si>
  <si>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</si>
  <si>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</si>
  <si>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</si>
  <si>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</si>
  <si>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</si>
  <si>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</si>
  <si>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</si>
  <si>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</si>
  <si>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</si>
  <si>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</si>
  <si>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</si>
  <si>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</si>
  <si>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</si>
  <si>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</si>
  <si>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</si>
  <si>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</si>
  <si>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</si>
  <si>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</si>
  <si>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</si>
  <si>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</si>
  <si>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</si>
  <si>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</si>
  <si>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</si>
  <si>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</si>
  <si>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</si>
  <si>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</si>
  <si>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</si>
  <si>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</si>
  <si>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</si>
  <si>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</si>
  <si>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</si>
  <si>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</si>
  <si>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</si>
  <si>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</si>
  <si>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</si>
  <si>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</si>
  <si>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</si>
  <si>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</si>
  <si>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</si>
  <si>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</si>
  <si>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</si>
  <si>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</si>
  <si>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</si>
  <si>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</si>
  <si>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</si>
  <si>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</si>
  <si>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</si>
  <si>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</si>
  <si>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</si>
  <si>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</si>
  <si>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</si>
  <si>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</si>
  <si>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</si>
  <si>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</si>
  <si>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</si>
  <si>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</si>
  <si>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</si>
  <si>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</si>
  <si>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</si>
  <si>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</si>
  <si>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</si>
  <si>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</si>
  <si>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</si>
  <si>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</si>
  <si>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</si>
  <si>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</si>
  <si>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</si>
  <si>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</si>
  <si>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</si>
  <si>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</si>
  <si>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</si>
  <si>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</si>
  <si>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</si>
  <si>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</si>
  <si>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</si>
  <si>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</si>
  <si>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</si>
  <si>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</si>
  <si>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</si>
  <si>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</si>
  <si>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</si>
  <si>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</si>
  <si>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</si>
  <si>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</si>
  <si>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</si>
  <si>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</si>
  <si>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</si>
  <si>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</si>
  <si>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</si>
  <si>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</si>
  <si>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</si>
  <si>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</si>
  <si>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</si>
  <si>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</si>
  <si>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</si>
  <si>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</si>
  <si>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</si>
  <si>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</si>
  <si>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</si>
  <si>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</si>
  <si>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</si>
  <si>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</si>
  <si>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</si>
  <si>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</si>
  <si>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</si>
  <si>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</si>
  <si>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</si>
  <si>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</si>
  <si>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</si>
  <si>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</si>
  <si>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</si>
  <si>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</si>
  <si>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</si>
  <si>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</si>
  <si>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</si>
  <si>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</si>
  <si>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</si>
  <si>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</si>
  <si>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</si>
  <si>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</si>
  <si>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</si>
  <si>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</si>
  <si>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</si>
  <si>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</si>
  <si>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</si>
  <si>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</si>
  <si>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</si>
  <si>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</si>
  <si>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</si>
  <si>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</si>
  <si>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</si>
  <si>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</si>
  <si>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</si>
  <si>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</si>
  <si>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</si>
  <si>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</si>
  <si>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</si>
  <si>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</si>
  <si>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</si>
  <si>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</si>
  <si>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</si>
  <si>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</si>
  <si>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</si>
  <si>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</si>
  <si>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</si>
  <si>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</si>
  <si>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</si>
  <si>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</si>
  <si>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</si>
  <si>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</si>
  <si>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</si>
  <si>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</si>
  <si>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</si>
  <si>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</si>
  <si>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</si>
  <si>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</si>
  <si>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</si>
  <si>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</si>
  <si>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</si>
  <si>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</si>
  <si>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</si>
  <si>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</si>
  <si>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</si>
  <si>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</si>
  <si>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</si>
  <si>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</si>
  <si>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</si>
  <si>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</si>
  <si>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</si>
  <si>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</si>
  <si>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</si>
  <si>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</si>
  <si>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</si>
  <si>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</si>
  <si>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</si>
  <si>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</si>
  <si>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</si>
  <si>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</si>
  <si>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</si>
  <si>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</si>
  <si>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</si>
  <si>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</si>
  <si>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</si>
  <si>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</si>
  <si>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</si>
  <si>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</si>
  <si>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</si>
  <si>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</si>
  <si>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</si>
  <si>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</si>
  <si>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</si>
  <si>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</si>
  <si>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</si>
  <si>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</si>
  <si>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</si>
  <si>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</si>
  <si>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</si>
  <si>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</si>
  <si>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</si>
  <si>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</si>
  <si>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</si>
  <si>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</si>
  <si>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</si>
  <si>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</si>
  <si>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</si>
  <si>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</si>
  <si>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</si>
  <si>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</si>
  <si>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</si>
  <si>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</si>
  <si>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</si>
  <si>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</si>
  <si>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</si>
  <si>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</si>
  <si>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</si>
  <si>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</si>
  <si>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</si>
  <si>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</si>
  <si>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</si>
  <si>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</si>
  <si>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</si>
  <si>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</si>
  <si>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</si>
  <si>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</si>
  <si>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</si>
  <si>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</si>
  <si>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</si>
  <si>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</si>
  <si>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</si>
  <si>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</si>
  <si>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</si>
  <si>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</si>
  <si>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</si>
  <si>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</si>
  <si>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</si>
  <si>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</si>
  <si>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</si>
  <si>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</si>
  <si>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</si>
  <si>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</si>
  <si>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</si>
  <si>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</si>
  <si>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</si>
  <si>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</si>
  <si>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</si>
  <si>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</si>
  <si>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</si>
  <si>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</si>
  <si>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</si>
  <si>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</si>
  <si>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</si>
  <si>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</si>
  <si>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</si>
  <si>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</si>
  <si>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</si>
  <si>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</si>
  <si>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</si>
  <si>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</si>
  <si>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</si>
  <si>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</si>
  <si>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</si>
  <si>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</si>
  <si>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</si>
  <si>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</si>
  <si>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</si>
  <si>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</si>
  <si>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</si>
  <si>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</si>
  <si>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</si>
  <si>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</si>
  <si>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</si>
  <si>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</si>
  <si>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</si>
  <si>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</si>
  <si>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531694</t>
  </si>
  <si>
    <t>INE230F01014</t>
  </si>
  <si>
    <t>Rainbow Foundations Limited</t>
  </si>
  <si>
    <t>31-03-2024</t>
  </si>
  <si>
    <t>GAJRAJ JAIN .</t>
  </si>
  <si>
    <t>ANOPCHAND JAIN</t>
  </si>
  <si>
    <t>NAVIN KUMAR JAIN</t>
  </si>
  <si>
    <t>N ANITHA JAIN</t>
  </si>
  <si>
    <t>SAPNA</t>
  </si>
  <si>
    <t>VIKASH KUMAR JAIN</t>
  </si>
  <si>
    <t>NITESH JAIN . .</t>
  </si>
  <si>
    <t>SARALA JAIN</t>
  </si>
  <si>
    <t>GAJRAJ JAIN HUF .</t>
  </si>
  <si>
    <t>ANOP CHAND JAIN</t>
  </si>
  <si>
    <t>LALITHA JAIN .</t>
  </si>
  <si>
    <t>ASHISH JAIN .</t>
  </si>
  <si>
    <t>PRIYANKA  JAIN</t>
  </si>
  <si>
    <t>NAVIN AND SONS</t>
  </si>
  <si>
    <t>VIKASH JAIN HUF</t>
  </si>
  <si>
    <t>AAFPJ8668N</t>
  </si>
  <si>
    <t>AAEPA3722H</t>
  </si>
  <si>
    <t>AAEPJ0185D</t>
  </si>
  <si>
    <t>AAEPA3371N</t>
  </si>
  <si>
    <t>BKRPS2280L</t>
  </si>
  <si>
    <t>ABUPV5981E</t>
  </si>
  <si>
    <t>AAFPJ8666C</t>
  </si>
  <si>
    <t>AASPS3055M</t>
  </si>
  <si>
    <t>AADHG4249L</t>
  </si>
  <si>
    <t>AAAHA2705E</t>
  </si>
  <si>
    <t>AABPL7174K</t>
  </si>
  <si>
    <t>AFEPJ0464L</t>
  </si>
  <si>
    <t>AQQPP2806F</t>
  </si>
  <si>
    <t>AAEHN5500N</t>
  </si>
  <si>
    <t>AAHHV9053P</t>
  </si>
  <si>
    <t>MINESH RAVAL</t>
  </si>
  <si>
    <t>OM PRAKASH KHAJANCHI</t>
  </si>
  <si>
    <t>ANIL BOHRA</t>
  </si>
  <si>
    <t>ASHISH CHUGH .</t>
  </si>
  <si>
    <t>AABPR6061R</t>
  </si>
  <si>
    <t>AGVPK4857A</t>
  </si>
  <si>
    <t>AAFPB8214N</t>
  </si>
  <si>
    <t>ACZPC1166E</t>
  </si>
  <si>
    <t>RAJGHARANA HOUSING LIMITED</t>
  </si>
  <si>
    <t>ARROWSPACE ADVISORS PRIVATE 
LIMITED</t>
  </si>
  <si>
    <t>WOODLAND RETAILS PRIVATE 
LIMITED</t>
  </si>
  <si>
    <t>RANISATI CONSTRUCTIONS COMPANY
PRIVATE LIMITED</t>
  </si>
  <si>
    <t>AAACJ2674E</t>
  </si>
  <si>
    <t>AAKCA2800K</t>
  </si>
  <si>
    <t>AABCW1644A</t>
  </si>
  <si>
    <t>AABCR6346J</t>
  </si>
  <si>
    <t>MADANCHAND NAHAR SUB HUF</t>
  </si>
  <si>
    <t>AAHHM7223A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</si>
</sst>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 #,##0.00_ ;_ * \-#,##0.00_ ;_ * &quot;-&quot;??_ ;_ @_ "/>
    <numFmt numFmtId="165" formatCode="0;[Red]0"/>
    <numFmt numFmtId="166" formatCode="0.00;[Red]0.00"/>
    <numFmt numFmtId="167"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5" fontId="0" fillId="9" borderId="4" xfId="0" applyNumberFormat="1" applyFill="1" applyBorder="1" applyAlignment="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lignment horizontal="right"/>
    </xf>
    <xf numFmtId="0" fontId="0" fillId="7" borderId="12" xfId="0" applyFill="1" applyBorder="1"/>
    <xf numFmtId="0" fontId="0" fillId="7" borderId="13" xfId="0" applyFill="1" applyBorder="1"/>
    <xf numFmtId="166"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7"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6"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lignment horizontal="right"/>
    </xf>
    <xf numFmtId="0" fontId="1" fillId="6" borderId="23" xfId="0" applyFont="1" applyFill="1" applyBorder="1" applyAlignment="1">
      <alignment wrapText="1"/>
    </xf>
    <xf numFmtId="165" fontId="0" fillId="8" borderId="20" xfId="0" applyNumberFormat="1" applyFill="1" applyBorder="1" applyAlignment="1" applyProtection="1">
      <alignment horizontal="right"/>
      <protection locked="0"/>
    </xf>
    <xf numFmtId="165" fontId="0" fillId="11" borderId="20" xfId="0" applyNumberFormat="1" applyFill="1" applyBorder="1" applyProtection="1">
      <protection hidden="1"/>
    </xf>
    <xf numFmtId="166" fontId="0" fillId="11" borderId="20" xfId="0" applyNumberFormat="1" applyFill="1" applyBorder="1" applyProtection="1">
      <protection hidden="1"/>
    </xf>
    <xf numFmtId="165" fontId="0" fillId="11" borderId="21" xfId="0" applyNumberFormat="1" applyFill="1" applyBorder="1" applyProtection="1">
      <protection hidden="1"/>
    </xf>
    <xf numFmtId="166" fontId="0" fillId="11" borderId="21"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164" fontId="0" fillId="0" borderId="4" xfId="2" applyFont="1" applyBorder="1" applyProtection="1">
      <protection locked="0"/>
    </xf>
    <xf numFmtId="166"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6"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164"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6"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6" fontId="0" fillId="11" borderId="20" xfId="2" applyNumberFormat="1" applyFont="1" applyFill="1" applyBorder="1" applyProtection="1">
      <protection hidden="1"/>
    </xf>
    <xf numFmtId="166" fontId="0" fillId="11" borderId="22" xfId="2" applyNumberFormat="1" applyFont="1" applyFill="1" applyBorder="1" applyProtection="1">
      <protection hidden="1"/>
    </xf>
    <xf numFmtId="166" fontId="0" fillId="9" borderId="4" xfId="2" applyNumberFormat="1" applyFont="1" applyFill="1" applyBorder="1" applyProtection="1">
      <protection hidden="1"/>
    </xf>
    <xf numFmtId="166" fontId="0" fillId="9" borderId="4" xfId="2" applyNumberFormat="1" applyFont="1" applyFill="1" applyBorder="1"/>
    <xf numFmtId="166" fontId="0" fillId="9" borderId="4" xfId="2" applyNumberFormat="1" applyFont="1" applyFill="1" applyBorder="1" applyAlignment="1"/>
    <xf numFmtId="166" fontId="0" fillId="12" borderId="20" xfId="2" applyNumberFormat="1" applyFont="1" applyFill="1" applyBorder="1" applyAlignment="1" applyProtection="1">
      <alignment horizontal="right"/>
      <protection hidden="1"/>
    </xf>
    <xf numFmtId="166" fontId="0" fillId="9" borderId="20" xfId="2" applyNumberFormat="1" applyFont="1" applyFill="1" applyBorder="1" applyAlignment="1">
      <alignment horizontal="right"/>
    </xf>
    <xf numFmtId="166" fontId="0" fillId="11" borderId="20"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20"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2" xfId="2" applyNumberFormat="1" applyFont="1" applyFill="1" applyBorder="1" applyAlignment="1" applyProtection="1">
      <alignment horizontal="right" vertical="center"/>
      <protection hidden="1"/>
    </xf>
    <xf numFmtId="166" fontId="0" fillId="11" borderId="20"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6"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6"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1" xfId="2" applyNumberFormat="1" applyFont="1" applyFill="1" applyBorder="1" applyProtection="1">
      <protection hidden="1"/>
    </xf>
    <xf numFmtId="165" fontId="0" fillId="11" borderId="20" xfId="0" applyNumberFormat="1" applyFill="1" applyBorder="1" applyAlignment="1" applyProtection="1">
      <alignment horizontal="right" vertical="center"/>
      <protection hidden="1"/>
    </xf>
    <xf numFmtId="166" fontId="0" fillId="11" borderId="20" xfId="2" applyNumberFormat="1" applyFont="1" applyFill="1" applyBorder="1"/>
    <xf numFmtId="166" fontId="0" fillId="11" borderId="20" xfId="0" applyNumberFormat="1" applyFill="1" applyBorder="1"/>
    <xf numFmtId="1" fontId="0" fillId="11" borderId="21" xfId="0" applyNumberForma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6" fontId="0" fillId="11" borderId="21" xfId="0" applyNumberFormat="1" applyFill="1" applyBorder="1" applyAlignment="1" applyProtection="1">
      <alignment horizontal="right"/>
      <protection hidden="1"/>
    </xf>
    <xf numFmtId="166" fontId="0" fillId="11" borderId="20" xfId="2" applyNumberFormat="1" applyFont="1" applyFill="1" applyBorder="1" applyAlignment="1">
      <alignment horizontal="right"/>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5" fontId="0" fillId="0" borderId="4" xfId="0" applyNumberFormat="1" applyBorder="1" applyAlignment="1">
      <alignment horizontal="center" vertical="center"/>
    </xf>
    <xf numFmtId="165" fontId="0" fillId="6" borderId="4" xfId="0" applyNumberFormat="1" applyFill="1" applyBorder="1" applyAlignment="1">
      <alignment horizontal="center" vertical="center"/>
    </xf>
    <xf numFmtId="165" fontId="0" fillId="8" borderId="4" xfId="0" applyNumberFormat="1" applyFill="1" applyBorder="1" applyAlignment="1">
      <alignment horizontal="center" vertical="center"/>
    </xf>
    <xf numFmtId="166" fontId="0" fillId="11" borderId="4" xfId="0" applyNumberFormat="1" applyFill="1" applyBorder="1" applyAlignment="1">
      <alignment horizontal="right"/>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6" fontId="0" fillId="9" borderId="20" xfId="2" applyNumberFormat="1" applyFont="1" applyFill="1" applyBorder="1" applyAlignment="1" applyProtection="1">
      <alignment horizontal="right"/>
      <protection hidden="1"/>
    </xf>
    <xf numFmtId="164" fontId="0" fillId="9" borderId="20" xfId="2" applyFont="1" applyFill="1" applyBorder="1" applyAlignment="1" applyProtection="1">
      <alignment horizontal="right"/>
      <protection hidden="1"/>
    </xf>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164" fontId="0" fillId="12" borderId="2" xfId="2" applyFont="1" applyFill="1" applyBorder="1" applyAlignment="1" applyProtection="1">
      <alignment horizontal="right"/>
      <protection hidden="1"/>
    </xf>
    <xf numFmtId="164" fontId="0" fillId="12" borderId="3" xfId="2" applyFont="1" applyFill="1" applyBorder="1" applyAlignment="1" applyProtection="1">
      <alignment horizontal="right"/>
      <protection hidden="1"/>
    </xf>
    <xf numFmtId="164" fontId="0" fillId="12" borderId="6" xfId="2" applyFont="1" applyFill="1" applyBorder="1" applyAlignment="1" applyProtection="1">
      <alignment horizontal="right"/>
      <protection hidden="1"/>
    </xf>
    <xf numFmtId="164" fontId="0" fillId="12" borderId="7" xfId="2" applyFont="1" applyFill="1" applyBorder="1" applyAlignment="1" applyProtection="1">
      <alignment horizontal="right"/>
      <protection hidden="1"/>
    </xf>
    <xf numFmtId="164" fontId="0" fillId="12" borderId="9" xfId="2" applyFont="1" applyFill="1" applyBorder="1" applyAlignment="1" applyProtection="1">
      <alignment horizontal="right"/>
      <protection hidden="1"/>
    </xf>
    <xf numFmtId="164" fontId="0" fillId="12" borderId="10" xfId="2" applyFont="1" applyFill="1" applyBorder="1" applyAlignment="1" applyProtection="1">
      <alignment horizontal="right"/>
      <protection hidden="1"/>
    </xf>
    <xf numFmtId="165"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6" fontId="0" fillId="11" borderId="58" xfId="0" applyNumberFormat="1" applyFill="1" applyBorder="1"/>
    <xf numFmtId="166"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6"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6"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165" fontId="0" fillId="20" borderId="2" xfId="0" applyNumberFormat="1" applyFill="1" applyBorder="1" applyProtection="1">
      <protection hidden="1"/>
    </xf>
    <xf numFmtId="165" fontId="0" fillId="20" borderId="33"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0" fontId="0" fillId="13" borderId="4" xfId="0" applyFill="1" applyBorder="1" applyAlignment="1" applyProtection="1">
      <alignment horizontal="left"/>
    </xf>
    <xf numFmtId="0" fontId="0" fillId="13" borderId="4" xfId="0" applyFill="1" applyBorder="1" applyAlignment="1" applyProtection="1">
      <alignment horizontal="right"/>
    </xf>
    <xf numFmtId="0" fontId="0" fillId="8" borderId="4" xfId="0" applyFill="1" applyBorder="1" applyAlignment="1" applyProtection="1">
      <alignment horizontal="left"/>
      <protection locked="0"/>
    </xf>
    <xf numFmtId="0" fontId="0" fillId="8" borderId="4" xfId="0" applyFill="1" applyBorder="1" applyAlignment="1" applyProtection="1">
      <alignment horizontal="right"/>
      <protection locked="0"/>
    </xf>
    <xf numFmtId="165" fontId="0" fillId="13" borderId="4" xfId="0" applyNumberFormat="1" applyFill="1" applyBorder="1" applyAlignment="1" applyProtection="1">
      <alignment horizontal="right"/>
    </xf>
    <xf numFmtId="0" fontId="0" fillId="12" borderId="11" xfId="0" applyFill="1" applyBorder="1" applyProtection="1"/>
    <xf numFmtId="0" fontId="0" fillId="12" borderId="13"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Protection="1">
      <protection locked="0"/>
    </xf>
    <xf numFmtId="165" fontId="0" fillId="11" borderId="4" xfId="0" applyNumberFormat="1" applyFill="1" applyBorder="1" applyAlignment="1" applyProtection="1">
      <alignment horizontal="right"/>
      <protection hidden="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760950EB-AE45-7FC1-3B22-1D18E3C831E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60053ED5-6B1D-C60B-7063-791BBB3934C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6156C9DF-3F34-E8AC-8286-5B803F0DBD5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BBABD15F-87B5-F72E-6401-02E371068A9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9B501C4C-3B10-D81E-0B08-BF344016ACD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4E1C52F9-99B9-5200-CD21-5A17003117C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F0A2DEC0-572A-02B7-2D95-727247DF689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92CF2DE5-B5E7-2B17-0EB1-1F9E30258E0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FDBF146B-DAFE-B308-0FA8-433773C0961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B01DF629-3039-1614-54E5-479B6776F4D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24</xdr:row>
          <xdr:rowOff>66675</xdr:rowOff>
        </xdr:from>
        <xdr:to>
          <xdr:col>25</xdr:col>
          <xdr:colOff>1314450</xdr:colOff>
          <xdr:row>24</xdr:row>
          <xdr:rowOff>266700</xdr:rowOff>
        </xdr:to>
        <xdr:sp macro="" textlink="">
          <xdr:nvSpPr>
            <xdr:cNvPr id="6155" name="Button 11" hidden="1">
              <a:extLst>
                <a:ext uri="{63B3BB69-23CF-44E3-9099-C40C66FF867C}">
                  <a14:compatExt spid="_x0000_s6155"/>
                </a:ext>
                <a:ext uri="{FF2B5EF4-FFF2-40B4-BE49-F238E27FC236}">
                  <a16:creationId xmlns:a16="http://schemas.microsoft.com/office/drawing/2014/main" id="{FB233F86-A7C6-EA95-10E9-D3A4FCDB80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25</xdr:row>
          <xdr:rowOff>66675</xdr:rowOff>
        </xdr:from>
        <xdr:to>
          <xdr:col>25</xdr:col>
          <xdr:colOff>1314450</xdr:colOff>
          <xdr:row>25</xdr:row>
          <xdr:rowOff>266700</xdr:rowOff>
        </xdr:to>
        <xdr:sp macro="" textlink="">
          <xdr:nvSpPr>
            <xdr:cNvPr id="6156" name="Button 12" hidden="1">
              <a:extLst>
                <a:ext uri="{63B3BB69-23CF-44E3-9099-C40C66FF867C}">
                  <a14:compatExt spid="_x0000_s6156"/>
                </a:ext>
                <a:ext uri="{FF2B5EF4-FFF2-40B4-BE49-F238E27FC236}">
                  <a16:creationId xmlns:a16="http://schemas.microsoft.com/office/drawing/2014/main" id="{BA452D6F-F611-C339-1A87-DACB6972F9C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26</xdr:row>
          <xdr:rowOff>66675</xdr:rowOff>
        </xdr:from>
        <xdr:to>
          <xdr:col>25</xdr:col>
          <xdr:colOff>1314450</xdr:colOff>
          <xdr:row>26</xdr:row>
          <xdr:rowOff>266700</xdr:rowOff>
        </xdr:to>
        <xdr:sp macro="" textlink="">
          <xdr:nvSpPr>
            <xdr:cNvPr id="6157" name="Button 13" hidden="1">
              <a:extLst>
                <a:ext uri="{63B3BB69-23CF-44E3-9099-C40C66FF867C}">
                  <a14:compatExt spid="_x0000_s6157"/>
                </a:ext>
                <a:ext uri="{FF2B5EF4-FFF2-40B4-BE49-F238E27FC236}">
                  <a16:creationId xmlns:a16="http://schemas.microsoft.com/office/drawing/2014/main" id="{FEE1E85C-CFC1-C091-77E1-F3991D9F2B1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27</xdr:row>
          <xdr:rowOff>66675</xdr:rowOff>
        </xdr:from>
        <xdr:to>
          <xdr:col>25</xdr:col>
          <xdr:colOff>1314450</xdr:colOff>
          <xdr:row>27</xdr:row>
          <xdr:rowOff>266700</xdr:rowOff>
        </xdr:to>
        <xdr:sp macro="" textlink="">
          <xdr:nvSpPr>
            <xdr:cNvPr id="6158" name="Button 14" hidden="1">
              <a:extLst>
                <a:ext uri="{63B3BB69-23CF-44E3-9099-C40C66FF867C}">
                  <a14:compatExt spid="_x0000_s6158"/>
                </a:ext>
                <a:ext uri="{FF2B5EF4-FFF2-40B4-BE49-F238E27FC236}">
                  <a16:creationId xmlns:a16="http://schemas.microsoft.com/office/drawing/2014/main" id="{01BC59C9-7888-840A-B447-FEA427A82CC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28</xdr:row>
          <xdr:rowOff>66675</xdr:rowOff>
        </xdr:from>
        <xdr:to>
          <xdr:col>25</xdr:col>
          <xdr:colOff>1314450</xdr:colOff>
          <xdr:row>28</xdr:row>
          <xdr:rowOff>266700</xdr:rowOff>
        </xdr:to>
        <xdr:sp macro="" textlink="">
          <xdr:nvSpPr>
            <xdr:cNvPr id="6159" name="Button 15" hidden="1">
              <a:extLst>
                <a:ext uri="{63B3BB69-23CF-44E3-9099-C40C66FF867C}">
                  <a14:compatExt spid="_x0000_s6159"/>
                </a:ext>
                <a:ext uri="{FF2B5EF4-FFF2-40B4-BE49-F238E27FC236}">
                  <a16:creationId xmlns:a16="http://schemas.microsoft.com/office/drawing/2014/main" id="{6A842B9E-13DF-EC96-45CA-A1E41F804BF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A297F539-7A2C-E67A-4856-C41F49B8C0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D4E451D4-BB1F-3E64-F11D-101F124CFB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ADD89838-B302-9867-08E6-03F340FE642E}"/>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50793F44-8643-A72B-D7D0-07F7EE04FDC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6CA0CB07-69F3-B48C-2AD9-348AD2C29A0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7F31A9F3-7BD4-F63A-36C8-84FDA635E09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E995DB34-EA3F-42C5-EE0A-18C90D394B0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C0A6C21F-6723-F916-B6F3-213E045B13D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8800D63A-4898-3083-0604-994F2E8A90A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51205" name="Button 5" hidden="1">
              <a:extLst>
                <a:ext uri="{63B3BB69-23CF-44E3-9099-C40C66FF867C}">
                  <a14:compatExt spid="_x0000_s51205"/>
                </a:ext>
                <a:ext uri="{FF2B5EF4-FFF2-40B4-BE49-F238E27FC236}">
                  <a16:creationId xmlns:a16="http://schemas.microsoft.com/office/drawing/2014/main" id="{F358C86F-0121-663E-B8BF-3F6B7784EBB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2.vml"/><Relationship Id="rId1" Type="http://schemas.openxmlformats.org/officeDocument/2006/relationships/drawing" Target="../drawings/drawing23.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3.vml"/><Relationship Id="rId1" Type="http://schemas.openxmlformats.org/officeDocument/2006/relationships/drawing" Target="../drawings/drawing46.xm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22.bin"/><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407" t="s">
        <v>396</v>
      </c>
      <c r="F6" s="408"/>
      <c r="G6" s="408"/>
      <c r="H6" s="408"/>
      <c r="I6" s="409"/>
    </row>
    <row r="7" spans="4:10">
      <c r="E7" s="214" t="s">
        <v>397</v>
      </c>
      <c r="F7" s="410" t="s">
        <v>398</v>
      </c>
      <c r="G7" s="411"/>
      <c r="H7" s="411"/>
      <c r="I7" s="412"/>
    </row>
    <row r="8" spans="4:10">
      <c r="E8" s="214" t="s">
        <v>399</v>
      </c>
      <c r="F8" s="410" t="s">
        <v>400</v>
      </c>
      <c r="G8" s="413"/>
      <c r="H8" s="413"/>
      <c r="I8" s="414"/>
    </row>
    <row r="9" spans="4:10">
      <c r="E9" s="214" t="s">
        <v>401</v>
      </c>
      <c r="F9" s="410" t="s">
        <v>402</v>
      </c>
      <c r="G9" s="413"/>
      <c r="H9" s="413"/>
      <c r="I9" s="414"/>
    </row>
    <row r="10" spans="4:10">
      <c r="E10" s="214" t="s">
        <v>403</v>
      </c>
      <c r="F10" s="410" t="s">
        <v>582</v>
      </c>
      <c r="G10" s="413"/>
      <c r="H10" s="413"/>
      <c r="I10" s="414"/>
    </row>
    <row r="11" spans="4:10">
      <c r="E11" s="214" t="s">
        <v>581</v>
      </c>
      <c r="F11" s="410" t="s">
        <v>431</v>
      </c>
      <c r="G11" s="413"/>
      <c r="H11" s="413"/>
      <c r="I11" s="414"/>
    </row>
    <row r="12" spans="4:10">
      <c r="E12" s="214" t="s">
        <v>585</v>
      </c>
      <c r="F12" s="410" t="s">
        <v>586</v>
      </c>
      <c r="G12" s="413"/>
      <c r="H12" s="413"/>
      <c r="I12" s="414"/>
    </row>
    <row r="13" spans="4:10">
      <c r="I13" s="213"/>
    </row>
    <row r="14" spans="4:10">
      <c r="I14" s="213"/>
    </row>
    <row r="15" spans="4:10">
      <c r="D15" s="415" t="s">
        <v>404</v>
      </c>
      <c r="E15" s="416"/>
      <c r="F15" s="416"/>
      <c r="G15" s="416"/>
      <c r="H15" s="416"/>
      <c r="I15" s="416"/>
      <c r="J15" s="417"/>
    </row>
    <row r="16" spans="4:10" ht="27.75" customHeight="1">
      <c r="D16" s="418" t="s">
        <v>405</v>
      </c>
      <c r="E16" s="418"/>
      <c r="F16" s="418"/>
      <c r="G16" s="418"/>
      <c r="H16" s="418"/>
      <c r="I16" s="418"/>
      <c r="J16" s="418"/>
    </row>
    <row r="17" spans="4:10" ht="45" customHeight="1">
      <c r="D17" s="419" t="s">
        <v>406</v>
      </c>
      <c r="E17" s="419"/>
      <c r="F17" s="419"/>
      <c r="G17" s="419"/>
      <c r="H17" s="419"/>
      <c r="I17" s="419"/>
      <c r="J17" s="419"/>
    </row>
    <row r="18" spans="4:10">
      <c r="D18" s="215"/>
      <c r="E18" s="215"/>
      <c r="F18" s="215"/>
      <c r="G18" s="215"/>
      <c r="H18" s="215"/>
      <c r="I18" s="216"/>
      <c r="J18" s="215"/>
    </row>
    <row r="19" spans="4:10">
      <c r="I19" s="213"/>
    </row>
    <row r="20" spans="4:10" ht="15.75">
      <c r="D20" s="398" t="s">
        <v>407</v>
      </c>
      <c r="E20" s="399"/>
      <c r="F20" s="399"/>
      <c r="G20" s="399"/>
      <c r="H20" s="399"/>
      <c r="I20" s="399"/>
      <c r="J20" s="400"/>
    </row>
    <row r="21" spans="4:10" ht="18" customHeight="1">
      <c r="D21" s="420" t="s">
        <v>408</v>
      </c>
      <c r="E21" s="421"/>
      <c r="F21" s="421"/>
      <c r="G21" s="421"/>
      <c r="H21" s="421"/>
      <c r="I21" s="421"/>
      <c r="J21" s="422"/>
    </row>
    <row r="22" spans="4:10" ht="16.5" customHeight="1">
      <c r="D22" s="423" t="s">
        <v>409</v>
      </c>
      <c r="E22" s="424"/>
      <c r="F22" s="424"/>
      <c r="G22" s="424"/>
      <c r="H22" s="424"/>
      <c r="I22" s="424"/>
      <c r="J22" s="425"/>
    </row>
    <row r="23" spans="4:10" ht="16.5" customHeight="1">
      <c r="D23" s="384" t="s">
        <v>410</v>
      </c>
      <c r="E23" s="385"/>
      <c r="F23" s="385"/>
      <c r="G23" s="385"/>
      <c r="H23" s="385"/>
      <c r="I23" s="385"/>
      <c r="J23" s="386"/>
    </row>
    <row r="24" spans="4:10" ht="18.75" customHeight="1">
      <c r="D24" s="384" t="s">
        <v>411</v>
      </c>
      <c r="E24" s="385"/>
      <c r="F24" s="385"/>
      <c r="G24" s="385"/>
      <c r="H24" s="385"/>
      <c r="I24" s="385"/>
      <c r="J24" s="386"/>
    </row>
    <row r="25" spans="4:10" ht="28.5" customHeight="1">
      <c r="D25" s="387" t="s">
        <v>412</v>
      </c>
      <c r="E25" s="388"/>
      <c r="F25" s="388"/>
      <c r="G25" s="388"/>
      <c r="H25" s="388"/>
      <c r="I25" s="388"/>
      <c r="J25" s="389"/>
    </row>
    <row r="26" spans="4:10">
      <c r="I26" s="213"/>
    </row>
    <row r="27" spans="4:10">
      <c r="I27" s="213"/>
    </row>
    <row r="28" spans="4:10" ht="15.75">
      <c r="D28" s="404" t="s">
        <v>413</v>
      </c>
      <c r="E28" s="405"/>
      <c r="F28" s="405"/>
      <c r="G28" s="405"/>
      <c r="H28" s="405"/>
      <c r="I28" s="405"/>
      <c r="J28" s="406"/>
    </row>
    <row r="29" spans="4:10">
      <c r="D29" s="217">
        <v>1</v>
      </c>
      <c r="E29" s="396" t="s">
        <v>414</v>
      </c>
      <c r="F29" s="397"/>
      <c r="G29" s="397"/>
      <c r="H29" s="397"/>
      <c r="I29" s="397"/>
      <c r="J29" s="220" t="s">
        <v>415</v>
      </c>
    </row>
    <row r="30" spans="4:10">
      <c r="D30" s="217">
        <v>2</v>
      </c>
      <c r="E30" s="396" t="s">
        <v>432</v>
      </c>
      <c r="F30" s="397"/>
      <c r="G30" s="397"/>
      <c r="H30" s="397"/>
      <c r="I30" s="397"/>
      <c r="J30" s="220" t="s">
        <v>432</v>
      </c>
    </row>
    <row r="31" spans="4:10">
      <c r="D31" s="217">
        <v>3</v>
      </c>
      <c r="E31" s="396" t="s">
        <v>433</v>
      </c>
      <c r="F31" s="397"/>
      <c r="G31" s="397"/>
      <c r="H31" s="397"/>
      <c r="I31" s="397"/>
      <c r="J31" s="220" t="s">
        <v>433</v>
      </c>
    </row>
    <row r="32" spans="4:10">
      <c r="D32" s="217">
        <v>4</v>
      </c>
      <c r="E32" s="396" t="s">
        <v>434</v>
      </c>
      <c r="F32" s="397"/>
      <c r="G32" s="397"/>
      <c r="H32" s="397"/>
      <c r="I32" s="397"/>
      <c r="J32" s="220" t="s">
        <v>434</v>
      </c>
    </row>
    <row r="33" spans="4:10">
      <c r="D33" s="217">
        <v>5</v>
      </c>
      <c r="E33" s="396" t="s">
        <v>847</v>
      </c>
      <c r="F33" s="397"/>
      <c r="G33" s="397"/>
      <c r="H33" s="397"/>
      <c r="I33" s="397"/>
      <c r="J33" s="220" t="s">
        <v>847</v>
      </c>
    </row>
    <row r="34" spans="4:10">
      <c r="D34" s="218"/>
      <c r="E34" s="218"/>
      <c r="F34" s="218"/>
      <c r="G34" s="218"/>
      <c r="H34" s="218"/>
      <c r="I34" s="219"/>
      <c r="J34" s="218"/>
    </row>
    <row r="35" spans="4:10">
      <c r="D35" s="218"/>
      <c r="E35" s="218"/>
      <c r="F35" s="218"/>
      <c r="G35" s="218"/>
      <c r="H35" s="218"/>
      <c r="I35" s="219"/>
      <c r="J35" s="218"/>
    </row>
    <row r="36" spans="4:10" ht="15.75">
      <c r="D36" s="398" t="s">
        <v>579</v>
      </c>
      <c r="E36" s="399"/>
      <c r="F36" s="399"/>
      <c r="G36" s="399"/>
      <c r="H36" s="399"/>
      <c r="I36" s="399"/>
      <c r="J36" s="400"/>
    </row>
    <row r="37" spans="4:10" ht="30" customHeight="1">
      <c r="D37" s="401" t="s">
        <v>580</v>
      </c>
      <c r="E37" s="402"/>
      <c r="F37" s="402"/>
      <c r="G37" s="402"/>
      <c r="H37" s="402"/>
      <c r="I37" s="402"/>
      <c r="J37" s="40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98" t="s">
        <v>583</v>
      </c>
      <c r="E41" s="399"/>
      <c r="F41" s="399"/>
      <c r="G41" s="399"/>
      <c r="H41" s="399"/>
      <c r="I41" s="399"/>
      <c r="J41" s="400"/>
    </row>
    <row r="42" spans="4:10" ht="60" customHeight="1">
      <c r="D42" s="430" t="s">
        <v>435</v>
      </c>
      <c r="E42" s="431"/>
      <c r="F42" s="431"/>
      <c r="G42" s="431"/>
      <c r="H42" s="431"/>
      <c r="I42" s="431"/>
      <c r="J42" s="432"/>
    </row>
    <row r="43" spans="4:10" ht="49.5" customHeight="1">
      <c r="D43" s="433" t="s">
        <v>416</v>
      </c>
      <c r="E43" s="434"/>
      <c r="F43" s="434"/>
      <c r="G43" s="434"/>
      <c r="H43" s="434"/>
      <c r="I43" s="434"/>
      <c r="J43" s="435"/>
    </row>
    <row r="44" spans="4:10" ht="53.25" customHeight="1">
      <c r="D44" s="433" t="s">
        <v>417</v>
      </c>
      <c r="E44" s="434"/>
      <c r="F44" s="434"/>
      <c r="G44" s="434"/>
      <c r="H44" s="434"/>
      <c r="I44" s="434"/>
      <c r="J44" s="435"/>
    </row>
    <row r="45" spans="4:10" ht="30" customHeight="1">
      <c r="D45" s="420" t="s">
        <v>418</v>
      </c>
      <c r="E45" s="436"/>
      <c r="F45" s="436"/>
      <c r="G45" s="436"/>
      <c r="H45" s="436"/>
      <c r="I45" s="436"/>
      <c r="J45" s="437"/>
    </row>
    <row r="46" spans="4:10" ht="56.25" customHeight="1">
      <c r="D46" s="390" t="s">
        <v>419</v>
      </c>
      <c r="E46" s="391"/>
      <c r="F46" s="391"/>
      <c r="G46" s="391"/>
      <c r="H46" s="391"/>
      <c r="I46" s="391"/>
      <c r="J46" s="392"/>
    </row>
    <row r="47" spans="4:10" ht="84.75" customHeight="1">
      <c r="D47" s="390" t="s">
        <v>420</v>
      </c>
      <c r="E47" s="391"/>
      <c r="F47" s="391"/>
      <c r="G47" s="391"/>
      <c r="H47" s="391"/>
      <c r="I47" s="391"/>
      <c r="J47" s="392"/>
    </row>
    <row r="48" spans="4:10" ht="61.5" customHeight="1">
      <c r="D48" s="393" t="s">
        <v>421</v>
      </c>
      <c r="E48" s="394"/>
      <c r="F48" s="394"/>
      <c r="G48" s="394"/>
      <c r="H48" s="394"/>
      <c r="I48" s="394"/>
      <c r="J48" s="395"/>
    </row>
    <row r="49" spans="4:10">
      <c r="I49" s="213"/>
    </row>
    <row r="50" spans="4:10">
      <c r="I50" s="213"/>
    </row>
    <row r="51" spans="4:10" ht="15.75">
      <c r="D51" s="404" t="s">
        <v>584</v>
      </c>
      <c r="E51" s="405"/>
      <c r="F51" s="405"/>
      <c r="G51" s="405"/>
      <c r="H51" s="405"/>
      <c r="I51" s="405"/>
      <c r="J51" s="406"/>
    </row>
    <row r="52" spans="4:10" ht="20.100000000000001" customHeight="1">
      <c r="D52" s="427" t="s">
        <v>422</v>
      </c>
      <c r="E52" s="427"/>
      <c r="F52" s="427"/>
      <c r="G52" s="427"/>
      <c r="H52" s="427"/>
      <c r="I52" s="427"/>
      <c r="J52" s="427"/>
    </row>
    <row r="53" spans="4:10" ht="20.100000000000001" customHeight="1">
      <c r="D53" s="427" t="s">
        <v>423</v>
      </c>
      <c r="E53" s="427"/>
      <c r="F53" s="427"/>
      <c r="G53" s="427"/>
      <c r="H53" s="427"/>
      <c r="I53" s="427"/>
      <c r="J53" s="427"/>
    </row>
    <row r="54" spans="4:10" ht="20.100000000000001" customHeight="1">
      <c r="D54" s="427" t="s">
        <v>424</v>
      </c>
      <c r="E54" s="427"/>
      <c r="F54" s="427"/>
      <c r="G54" s="427"/>
      <c r="H54" s="427"/>
      <c r="I54" s="427"/>
      <c r="J54" s="427"/>
    </row>
    <row r="55" spans="4:10" ht="42" customHeight="1">
      <c r="D55" s="427" t="s">
        <v>425</v>
      </c>
      <c r="E55" s="427"/>
      <c r="F55" s="427"/>
      <c r="G55" s="427"/>
      <c r="H55" s="427"/>
      <c r="I55" s="427"/>
      <c r="J55" s="427"/>
    </row>
    <row r="56" spans="4:10" ht="38.25" customHeight="1">
      <c r="D56" s="427" t="s">
        <v>426</v>
      </c>
      <c r="E56" s="427"/>
      <c r="F56" s="427"/>
      <c r="G56" s="427"/>
      <c r="H56" s="427"/>
      <c r="I56" s="427"/>
      <c r="J56" s="427"/>
    </row>
    <row r="57" spans="4:10" ht="38.25" customHeight="1">
      <c r="D57" s="428" t="s">
        <v>427</v>
      </c>
      <c r="E57" s="427"/>
      <c r="F57" s="427"/>
      <c r="G57" s="427"/>
      <c r="H57" s="427"/>
      <c r="I57" s="427"/>
      <c r="J57" s="427"/>
    </row>
    <row r="58" spans="4:10" ht="38.25" customHeight="1">
      <c r="D58" s="428" t="s">
        <v>428</v>
      </c>
      <c r="E58" s="427"/>
      <c r="F58" s="427"/>
      <c r="G58" s="427"/>
      <c r="H58" s="427"/>
      <c r="I58" s="427"/>
      <c r="J58" s="427"/>
    </row>
    <row r="59" spans="4:10" ht="25.5" customHeight="1">
      <c r="D59" s="429" t="s">
        <v>429</v>
      </c>
      <c r="E59" s="426"/>
      <c r="F59" s="426"/>
      <c r="G59" s="426"/>
      <c r="H59" s="426"/>
      <c r="I59" s="426"/>
      <c r="J59" s="426"/>
    </row>
    <row r="60" spans="4:10" ht="27.75" customHeight="1">
      <c r="D60" s="426" t="s">
        <v>430</v>
      </c>
      <c r="E60" s="426"/>
      <c r="F60" s="426"/>
      <c r="G60" s="426"/>
      <c r="H60" s="426"/>
      <c r="I60" s="426"/>
      <c r="J60" s="426"/>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hyperlink ref="J31" location="Summary!A1" display="Summary"/>
    <hyperlink ref="J32" location="'Shareholding Pattern'!A1" display="Shareholding Pattern"/>
    <hyperlink ref="J29" location="GeneralInfo!A1" display="General Info"/>
    <hyperlink ref="F7:I7" location="Index!D15" display="Overview"/>
    <hyperlink ref="F8:I8" location="Index!D20" display="Before you begin"/>
    <hyperlink ref="F9:I9" location="Index!D28" display="Index"/>
    <hyperlink ref="F12:I12" location="Index!D50" display="Fill up the Shareholding Pattern"/>
    <hyperlink ref="F10" location="Index!D34" display="Import XBRL file"/>
    <hyperlink ref="F10:I10" location="Index!D35" display="Import XBRL file"/>
    <hyperlink ref="F11:I11" location="Index!D40" display="Steps for filing Shareholding Pattern"/>
    <hyperlink ref="J33" location="'Annexure B'!A1" display="Annexure 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9"/>
  <sheetViews>
    <sheetView showGridLines="0" topLeftCell="D4"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39" t="s">
        <v>90</v>
      </c>
      <c r="F5" s="440"/>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866</v>
      </c>
      <c r="R14" s="206"/>
    </row>
    <row r="15" spans="5:24" ht="36.75" customHeight="1">
      <c r="E15" s="16" t="s">
        <v>92</v>
      </c>
      <c r="F15" s="366"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38"/>
      <c r="F18" s="43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DzATAeLVFdTb4GU9U1/ohYI0qdqxo5RrdgR3nvoJmBCPrLfocUMRaLXaMyU6MslQjk5WiJ2zqXOJu1CY24H/ag==" saltValue="Z10moLnC75Lwxb7UTUf64w==" spinCount="100000" sheet="1" objects="1" scenarios="1"/>
  <dataConsolidate/>
  <mergeCells count="2">
    <mergeCell ref="E18:F18"/>
    <mergeCell ref="E5:F5"/>
  </mergeCells>
  <dataValidations count="8">
    <dataValidation type="list" allowBlank="1" showInputMessage="1" showErrorMessage="1" sqref="F21:F26">
      <formula1>$U$1:$U$2</formula1>
    </dataValidation>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textLength" operator="equal" allowBlank="1" showInputMessage="1" showErrorMessage="1" sqref="F6">
      <formula1>6</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sqref="F9">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XFC16"/>
  <sheetViews>
    <sheetView showGridLines="0" topLeftCell="C7" workbookViewId="0">
      <selection activeCell="E21" sqref="E21"/>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367" t="s">
        <v>104</v>
      </c>
      <c r="H9" s="367" t="s">
        <v>104</v>
      </c>
      <c r="I9" s="367" t="s">
        <v>104</v>
      </c>
      <c r="M9">
        <v>1</v>
      </c>
      <c r="N9">
        <v>1</v>
      </c>
      <c r="O9">
        <v>1</v>
      </c>
      <c r="P9">
        <v>1</v>
      </c>
      <c r="R9" t="s">
        <v>495</v>
      </c>
      <c r="S9" t="s">
        <v>496</v>
      </c>
      <c r="T9" t="s">
        <v>497</v>
      </c>
      <c r="U9" t="s">
        <v>498</v>
      </c>
    </row>
    <row r="10" spans="1:21" ht="20.100000000000001" customHeight="1">
      <c r="D10" s="23">
        <v>2</v>
      </c>
      <c r="E10" s="265" t="s">
        <v>109</v>
      </c>
      <c r="F10" s="172" t="s">
        <v>104</v>
      </c>
      <c r="G10" s="368" t="s">
        <v>104</v>
      </c>
      <c r="H10" s="368" t="s">
        <v>104</v>
      </c>
      <c r="I10" s="368" t="s">
        <v>104</v>
      </c>
      <c r="M10">
        <v>1</v>
      </c>
      <c r="N10">
        <v>1</v>
      </c>
      <c r="O10">
        <v>1</v>
      </c>
      <c r="P10">
        <v>1</v>
      </c>
      <c r="R10" t="s">
        <v>499</v>
      </c>
      <c r="S10" t="s">
        <v>500</v>
      </c>
      <c r="T10" t="s">
        <v>501</v>
      </c>
      <c r="U10" t="s">
        <v>502</v>
      </c>
    </row>
    <row r="11" spans="1:21" ht="20.100000000000001" customHeight="1">
      <c r="D11" s="23">
        <v>3</v>
      </c>
      <c r="E11" s="265" t="s">
        <v>110</v>
      </c>
      <c r="F11" s="172" t="s">
        <v>104</v>
      </c>
      <c r="G11" s="368" t="s">
        <v>104</v>
      </c>
      <c r="H11" s="368" t="s">
        <v>104</v>
      </c>
      <c r="I11" s="368" t="s">
        <v>104</v>
      </c>
      <c r="M11">
        <v>1</v>
      </c>
      <c r="N11">
        <v>1</v>
      </c>
      <c r="O11">
        <v>1</v>
      </c>
      <c r="P11">
        <v>1</v>
      </c>
      <c r="R11" t="s">
        <v>503</v>
      </c>
      <c r="S11" t="s">
        <v>504</v>
      </c>
      <c r="T11" t="s">
        <v>505</v>
      </c>
      <c r="U11" t="s">
        <v>506</v>
      </c>
    </row>
    <row r="12" spans="1:21" ht="30">
      <c r="D12" s="23">
        <v>4</v>
      </c>
      <c r="E12" s="265" t="s">
        <v>111</v>
      </c>
      <c r="F12" s="172" t="s">
        <v>104</v>
      </c>
      <c r="G12" s="368" t="s">
        <v>104</v>
      </c>
      <c r="H12" s="368" t="s">
        <v>104</v>
      </c>
      <c r="I12" s="368" t="s">
        <v>104</v>
      </c>
      <c r="M12">
        <v>1</v>
      </c>
      <c r="N12">
        <v>1</v>
      </c>
      <c r="O12">
        <v>1</v>
      </c>
      <c r="P12">
        <v>1</v>
      </c>
      <c r="R12" t="s">
        <v>507</v>
      </c>
      <c r="S12" t="s">
        <v>508</v>
      </c>
      <c r="T12" t="s">
        <v>509</v>
      </c>
      <c r="U12" t="s">
        <v>510</v>
      </c>
    </row>
    <row r="13" spans="1:21" ht="21.75" customHeight="1">
      <c r="D13" s="23">
        <v>5</v>
      </c>
      <c r="E13" s="265" t="s">
        <v>112</v>
      </c>
      <c r="F13" s="172" t="s">
        <v>104</v>
      </c>
      <c r="G13" s="368" t="s">
        <v>104</v>
      </c>
      <c r="H13" s="369" t="s">
        <v>104</v>
      </c>
      <c r="I13" s="369"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370" t="s">
        <v>104</v>
      </c>
      <c r="H14" s="378"/>
      <c r="I14" s="379"/>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371" t="s">
        <v>104</v>
      </c>
      <c r="H15" s="372" t="s">
        <v>104</v>
      </c>
      <c r="I15" s="372"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41"/>
      <c r="H16" s="442"/>
      <c r="I16" s="443"/>
      <c r="R16" s="169" t="s">
        <v>599</v>
      </c>
    </row>
  </sheetData>
  <sheetProtection algorithmName="SHA-512" hashValue="v7Gq9uAUrxyWlty1cfsEu/t9zKxS4aEfJBKGZsHRLjFzNC6UG5UgjVSUfclU6GGqjIO2mAowzP1ZHsrF4CRRjg==" saltValue="IrKB16n5B1Aq68QHkmbAzQ==" spinCount="100000" sheet="1" objects="1" scenarios="1"/>
  <mergeCells count="1">
    <mergeCell ref="G16:I16"/>
  </mergeCells>
  <dataValidations count="1">
    <dataValidation type="list" allowBlank="1" showInputMessage="1" showErrorMessage="1" sqref="F9:G15 H9:I13 H15:I15 F16">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XFC18"/>
  <sheetViews>
    <sheetView showGridLines="0" topLeftCell="G6" zoomScale="90" zoomScaleNormal="90" workbookViewId="0">
      <selection activeCell="G15" sqref="G15"/>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50" t="s">
        <v>146</v>
      </c>
      <c r="F8" s="451"/>
      <c r="G8" s="451"/>
      <c r="H8" s="451"/>
      <c r="I8" s="451"/>
      <c r="J8" s="451"/>
      <c r="K8" s="451"/>
      <c r="L8" s="451"/>
      <c r="M8" s="451"/>
      <c r="N8" s="451"/>
      <c r="O8" s="451"/>
      <c r="P8" s="451"/>
      <c r="Q8" s="451"/>
      <c r="R8" s="451"/>
      <c r="S8" s="451"/>
      <c r="T8" s="451"/>
      <c r="U8" s="451"/>
      <c r="V8" s="451"/>
      <c r="W8" s="451"/>
      <c r="X8" s="451"/>
      <c r="Y8" s="451"/>
      <c r="Z8" s="451"/>
      <c r="AA8" s="451"/>
      <c r="AB8" s="452"/>
    </row>
    <row r="9" spans="5:28" ht="22.5" customHeight="1">
      <c r="E9" s="453" t="s">
        <v>374</v>
      </c>
      <c r="F9" s="454"/>
      <c r="G9" s="454"/>
      <c r="H9" s="454"/>
      <c r="I9" s="454"/>
      <c r="J9" s="454"/>
      <c r="K9" s="454"/>
      <c r="L9" s="454"/>
      <c r="M9" s="454"/>
      <c r="N9" s="454"/>
      <c r="O9" s="454"/>
      <c r="P9" s="454"/>
      <c r="Q9" s="454"/>
      <c r="R9" s="454"/>
      <c r="S9" s="454"/>
      <c r="T9" s="454"/>
      <c r="U9" s="454"/>
      <c r="V9" s="454"/>
      <c r="W9" s="454"/>
      <c r="X9" s="454"/>
      <c r="Y9" s="454"/>
      <c r="Z9" s="454"/>
      <c r="AA9" s="454"/>
      <c r="AB9" s="455"/>
    </row>
    <row r="10" spans="5:28" ht="27" customHeight="1">
      <c r="E10" s="448" t="s">
        <v>132</v>
      </c>
      <c r="F10" s="448" t="s">
        <v>133</v>
      </c>
      <c r="G10" s="448" t="s">
        <v>2</v>
      </c>
      <c r="H10" s="448" t="s">
        <v>3</v>
      </c>
      <c r="I10" s="448" t="s">
        <v>4</v>
      </c>
      <c r="J10" s="448" t="s">
        <v>5</v>
      </c>
      <c r="K10" s="448" t="s">
        <v>6</v>
      </c>
      <c r="L10" s="448" t="s">
        <v>7</v>
      </c>
      <c r="M10" s="459" t="s">
        <v>134</v>
      </c>
      <c r="N10" s="460"/>
      <c r="O10" s="460"/>
      <c r="P10" s="461"/>
      <c r="Q10" s="448" t="s">
        <v>9</v>
      </c>
      <c r="R10" s="462" t="s">
        <v>447</v>
      </c>
      <c r="S10" s="448" t="s">
        <v>116</v>
      </c>
      <c r="T10" s="448" t="s">
        <v>11</v>
      </c>
      <c r="U10" s="444" t="s">
        <v>12</v>
      </c>
      <c r="V10" s="445"/>
      <c r="W10" s="444" t="s">
        <v>13</v>
      </c>
      <c r="X10" s="445"/>
      <c r="Y10" s="448" t="s">
        <v>14</v>
      </c>
      <c r="Z10" s="456" t="s">
        <v>707</v>
      </c>
      <c r="AA10" s="457"/>
      <c r="AB10" s="458"/>
    </row>
    <row r="11" spans="5:28" ht="24" customHeight="1">
      <c r="E11" s="449"/>
      <c r="F11" s="449"/>
      <c r="G11" s="449"/>
      <c r="H11" s="449"/>
      <c r="I11" s="449"/>
      <c r="J11" s="449"/>
      <c r="K11" s="449"/>
      <c r="L11" s="449"/>
      <c r="M11" s="456" t="s">
        <v>328</v>
      </c>
      <c r="N11" s="457"/>
      <c r="O11" s="458"/>
      <c r="P11" s="449" t="s">
        <v>135</v>
      </c>
      <c r="Q11" s="449"/>
      <c r="R11" s="462"/>
      <c r="S11" s="449"/>
      <c r="T11" s="449"/>
      <c r="U11" s="446"/>
      <c r="V11" s="447"/>
      <c r="W11" s="446"/>
      <c r="X11" s="447"/>
      <c r="Y11" s="449"/>
      <c r="Z11" s="456" t="s">
        <v>708</v>
      </c>
      <c r="AA11" s="457"/>
      <c r="AB11" s="458"/>
    </row>
    <row r="12" spans="5:28" ht="79.5" customHeight="1">
      <c r="E12" s="449"/>
      <c r="F12" s="449"/>
      <c r="G12" s="449"/>
      <c r="H12" s="449"/>
      <c r="I12" s="449"/>
      <c r="J12" s="449"/>
      <c r="K12" s="449"/>
      <c r="L12" s="449"/>
      <c r="M12" s="27" t="s">
        <v>17</v>
      </c>
      <c r="N12" s="55" t="s">
        <v>18</v>
      </c>
      <c r="O12" s="55" t="s">
        <v>19</v>
      </c>
      <c r="P12" s="449"/>
      <c r="Q12" s="449"/>
      <c r="R12" s="448"/>
      <c r="S12" s="449"/>
      <c r="T12" s="449"/>
      <c r="U12" s="27" t="s">
        <v>20</v>
      </c>
      <c r="V12" s="27" t="s">
        <v>21</v>
      </c>
      <c r="W12" s="27" t="s">
        <v>20</v>
      </c>
      <c r="X12" s="27" t="s">
        <v>21</v>
      </c>
      <c r="Y12" s="449"/>
      <c r="Z12" s="345" t="s">
        <v>709</v>
      </c>
      <c r="AA12" s="345" t="s">
        <v>710</v>
      </c>
      <c r="AB12" s="345" t="s">
        <v>711</v>
      </c>
    </row>
    <row r="13" spans="5:28" ht="20.100000000000001" customHeight="1">
      <c r="E13" s="53" t="s">
        <v>136</v>
      </c>
      <c r="F13" s="46" t="s">
        <v>137</v>
      </c>
      <c r="G13" s="65">
        <f>+IFERROR(IF(COUNT('Shareholding Pattern'!H26),('Shareholding Pattern'!H26),""),"")</f>
        <v>15</v>
      </c>
      <c r="H13" s="65">
        <f>+IFERROR(IF(COUNT('Shareholding Pattern'!I26),('Shareholding Pattern'!I26),""),"")</f>
        <v>20581832</v>
      </c>
      <c r="I13" s="65" t="str">
        <f>+IFERROR(IF(COUNT('Shareholding Pattern'!J26),('Shareholding Pattern'!J26),""),"")</f>
        <v/>
      </c>
      <c r="J13" s="65" t="str">
        <f>+IFERROR(IF(COUNT('Shareholding Pattern'!K26),('Shareholding Pattern'!K26),""),"")</f>
        <v/>
      </c>
      <c r="K13" s="65">
        <f>+IFERROR(IF(COUNT('Shareholding Pattern'!L26),('Shareholding Pattern'!L26),""),"")</f>
        <v>20581832</v>
      </c>
      <c r="L13" s="160">
        <f>+IFERROR(IF(COUNT('Shareholding Pattern'!M26),('Shareholding Pattern'!M26),""),"")</f>
        <v>41.48</v>
      </c>
      <c r="M13" s="66">
        <f>+IFERROR(IF(COUNT('Shareholding Pattern'!N26),('Shareholding Pattern'!N26),""),"")</f>
        <v>20581832</v>
      </c>
      <c r="N13" s="119" t="str">
        <f>+IFERROR(IF(COUNT('Shareholding Pattern'!O26),('Shareholding Pattern'!O26),""),"")</f>
        <v/>
      </c>
      <c r="O13" s="119">
        <f>+IFERROR(IF(COUNT('Shareholding Pattern'!P26),('Shareholding Pattern'!P26),""),"")</f>
        <v>20581832</v>
      </c>
      <c r="P13" s="160">
        <f>+IFERROR(IF(COUNT('Shareholding Pattern'!Q26),('Shareholding Pattern'!Q26),""),"")</f>
        <v>41.48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41.48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20581832</v>
      </c>
      <c r="Z13" s="346"/>
      <c r="AA13" s="347"/>
      <c r="AB13" s="348"/>
    </row>
    <row r="14" spans="5:28" ht="20.100000000000001" customHeight="1">
      <c r="E14" s="53" t="s">
        <v>138</v>
      </c>
      <c r="F14" s="45" t="s">
        <v>139</v>
      </c>
      <c r="G14" s="65">
        <f>+IFERROR(IF(COUNT('Shareholding Pattern'!H71),('Shareholding Pattern'!H71),""),"")</f>
        <v>4007</v>
      </c>
      <c r="H14" s="65">
        <f>+IFERROR(IF(COUNT('Shareholding Pattern'!I71),('Shareholding Pattern'!I71),""),"")</f>
        <v>29036068</v>
      </c>
      <c r="I14" s="65" t="str">
        <f>+IFERROR(IF(COUNT('Shareholding Pattern'!J71),('Shareholding Pattern'!J71),""),"")</f>
        <v/>
      </c>
      <c r="J14" s="65" t="str">
        <f>+IFERROR(IF(COUNT('Shareholding Pattern'!K71),('Shareholding Pattern'!K71),""),"")</f>
        <v/>
      </c>
      <c r="K14" s="65">
        <f>+IFERROR(IF(COUNT('Shareholding Pattern'!L71),('Shareholding Pattern'!L71),""),"")</f>
        <v>29036068</v>
      </c>
      <c r="L14" s="160">
        <f>+IFERROR(IF(COUNT('Shareholding Pattern'!M71),('Shareholding Pattern'!M71),""),"")</f>
        <v>58.52</v>
      </c>
      <c r="M14" s="231">
        <f>+IFERROR(IF(COUNT('Shareholding Pattern'!N71),('Shareholding Pattern'!N71),""),"")</f>
        <v>29036068</v>
      </c>
      <c r="N14" s="119" t="str">
        <f>+IFERROR(IF(COUNT('Shareholding Pattern'!O71),('Shareholding Pattern'!O71),""),"")</f>
        <v/>
      </c>
      <c r="O14" s="119">
        <f>+IFERROR(IF(COUNT('Shareholding Pattern'!P71),('Shareholding Pattern'!P71),""),"")</f>
        <v>29036068</v>
      </c>
      <c r="P14" s="160">
        <f>+IFERROR(IF(COUNT('Shareholding Pattern'!Q71),('Shareholding Pattern'!Q71),""),"")</f>
        <v>58.52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58.52</v>
      </c>
      <c r="U14" s="65" t="str">
        <f>+IFERROR(IF(COUNT('Shareholding Pattern'!V71),('Shareholding Pattern'!V71),""),"")</f>
        <v/>
      </c>
      <c r="V14" s="160" t="str">
        <f>+IFERROR(IF(COUNT('Shareholding Pattern'!W71),('Shareholding Pattern'!W71),""),"")</f>
        <v/>
      </c>
      <c r="W14" s="249"/>
      <c r="X14" s="250"/>
      <c r="Y14" s="65">
        <f>+IFERROR(IF(COUNT('Shareholding Pattern'!Z71),('Shareholding Pattern'!Z71),""),"")</f>
        <v>28761048</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4022</v>
      </c>
      <c r="H18" s="67">
        <f>+IFERROR(IF(COUNT('Shareholding Pattern'!I79),('Shareholding Pattern'!I79),""),"")</f>
        <v>49617900</v>
      </c>
      <c r="I18" s="67" t="str">
        <f>+IFERROR(IF(COUNT('Shareholding Pattern'!J79),('Shareholding Pattern'!J79),""),"")</f>
        <v/>
      </c>
      <c r="J18" s="67" t="str">
        <f>+IFERROR(IF(COUNT('Shareholding Pattern'!K79),('Shareholding Pattern'!K79),""),"")</f>
        <v/>
      </c>
      <c r="K18" s="67">
        <f>+IFERROR(IF(COUNT('Shareholding Pattern'!L79),('Shareholding Pattern'!L79),""),"")</f>
        <v>49617900</v>
      </c>
      <c r="L18" s="238">
        <f>+IFERROR(IF(COUNT('Shareholding Pattern'!M79),('Shareholding Pattern'!M79),""),"")</f>
        <v>100</v>
      </c>
      <c r="M18" s="230">
        <f>+IFERROR(IF(COUNT('Shareholding Pattern'!N79),('Shareholding Pattern'!N79),""),"")</f>
        <v>49617900</v>
      </c>
      <c r="N18" s="295" t="str">
        <f>+IFERROR(IF(COUNT('Shareholding Pattern'!O79),('Shareholding Pattern'!O79),""),"")</f>
        <v/>
      </c>
      <c r="O18" s="295">
        <f>+IFERROR(IF(COUNT('Shareholding Pattern'!P79),('Shareholding Pattern'!P79),""),"")</f>
        <v>49617900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49342880</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XFC83"/>
  <sheetViews>
    <sheetView showGridLines="0" topLeftCell="C7" zoomScale="90" zoomScaleNormal="90" workbookViewId="0">
      <pane xSplit="3" ySplit="5" topLeftCell="F68" activePane="bottomRight" state="frozen"/>
      <selection activeCell="C7" sqref="C7"/>
      <selection pane="topRight" activeCell="F7" sqref="F7"/>
      <selection pane="bottomLeft" activeCell="C12" sqref="C12"/>
      <selection pane="bottomRight" activeCell="F74" sqref="F74:AC74"/>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492" t="s">
        <v>115</v>
      </c>
      <c r="F9" s="487" t="s">
        <v>0</v>
      </c>
      <c r="G9" s="488"/>
      <c r="H9" s="486" t="s">
        <v>2</v>
      </c>
      <c r="I9" s="486" t="s">
        <v>3</v>
      </c>
      <c r="J9" s="486" t="s">
        <v>4</v>
      </c>
      <c r="K9" s="449" t="s">
        <v>5</v>
      </c>
      <c r="L9" s="449" t="s">
        <v>6</v>
      </c>
      <c r="M9" s="463" t="s">
        <v>7</v>
      </c>
      <c r="N9" s="456" t="s">
        <v>8</v>
      </c>
      <c r="O9" s="457"/>
      <c r="P9" s="457"/>
      <c r="Q9" s="458"/>
      <c r="R9" s="486" t="s">
        <v>9</v>
      </c>
      <c r="S9" s="502" t="s">
        <v>447</v>
      </c>
      <c r="T9" s="486" t="s">
        <v>116</v>
      </c>
      <c r="U9" s="511" t="s">
        <v>11</v>
      </c>
      <c r="V9" s="449" t="s">
        <v>12</v>
      </c>
      <c r="W9" s="449"/>
      <c r="X9" s="449" t="s">
        <v>13</v>
      </c>
      <c r="Y9" s="449"/>
      <c r="Z9" s="486" t="s">
        <v>14</v>
      </c>
      <c r="AA9" s="518" t="s">
        <v>707</v>
      </c>
      <c r="AB9" s="519"/>
      <c r="AC9" s="520"/>
    </row>
    <row r="10" spans="5:58" ht="28.5" customHeight="1">
      <c r="E10" s="493"/>
      <c r="F10" s="489"/>
      <c r="G10" s="490"/>
      <c r="H10" s="486"/>
      <c r="I10" s="486"/>
      <c r="J10" s="486"/>
      <c r="K10" s="449"/>
      <c r="L10" s="449"/>
      <c r="M10" s="463"/>
      <c r="N10" s="456" t="s">
        <v>15</v>
      </c>
      <c r="O10" s="457"/>
      <c r="P10" s="458"/>
      <c r="Q10" s="463" t="s">
        <v>16</v>
      </c>
      <c r="R10" s="486"/>
      <c r="S10" s="503"/>
      <c r="T10" s="486"/>
      <c r="U10" s="511"/>
      <c r="V10" s="449"/>
      <c r="W10" s="449"/>
      <c r="X10" s="449"/>
      <c r="Y10" s="449"/>
      <c r="Z10" s="486"/>
      <c r="AA10" s="456" t="s">
        <v>708</v>
      </c>
      <c r="AB10" s="457"/>
      <c r="AC10" s="458"/>
    </row>
    <row r="11" spans="5:58" ht="113.25" customHeight="1">
      <c r="E11" s="494"/>
      <c r="F11" s="444"/>
      <c r="G11" s="445"/>
      <c r="H11" s="486"/>
      <c r="I11" s="486"/>
      <c r="J11" s="486"/>
      <c r="K11" s="449"/>
      <c r="L11" s="449"/>
      <c r="M11" s="463"/>
      <c r="N11" s="55" t="s">
        <v>17</v>
      </c>
      <c r="O11" s="55" t="s">
        <v>18</v>
      </c>
      <c r="P11" s="122" t="s">
        <v>19</v>
      </c>
      <c r="Q11" s="463"/>
      <c r="R11" s="486"/>
      <c r="S11" s="504"/>
      <c r="T11" s="486"/>
      <c r="U11" s="511"/>
      <c r="V11" s="55" t="s">
        <v>20</v>
      </c>
      <c r="W11" s="55" t="s">
        <v>21</v>
      </c>
      <c r="X11" s="122" t="s">
        <v>20</v>
      </c>
      <c r="Y11" s="55" t="s">
        <v>21</v>
      </c>
      <c r="Z11" s="486"/>
      <c r="AA11" s="55" t="s">
        <v>709</v>
      </c>
      <c r="AB11" s="55" t="s">
        <v>710</v>
      </c>
      <c r="AC11" s="55" t="s">
        <v>711</v>
      </c>
    </row>
    <row r="12" spans="5:58" ht="18.75" customHeight="1">
      <c r="E12" s="98" t="s">
        <v>22</v>
      </c>
      <c r="F12" s="521" t="s">
        <v>23</v>
      </c>
      <c r="G12" s="522"/>
      <c r="H12" s="522"/>
      <c r="I12" s="522"/>
      <c r="J12" s="522"/>
      <c r="K12" s="522"/>
      <c r="L12" s="522"/>
      <c r="M12" s="522"/>
      <c r="N12" s="522"/>
      <c r="O12" s="522"/>
      <c r="P12" s="522"/>
      <c r="Q12" s="522"/>
      <c r="R12" s="522"/>
      <c r="S12" s="522"/>
      <c r="T12" s="522"/>
      <c r="U12" s="522"/>
      <c r="V12" s="522"/>
      <c r="W12" s="522"/>
      <c r="X12" s="522"/>
      <c r="Y12" s="522"/>
      <c r="Z12" s="522"/>
      <c r="AA12" s="522"/>
      <c r="AB12" s="522"/>
      <c r="AC12" s="523"/>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15</v>
      </c>
      <c r="I14" s="280">
        <f>+IF(COUNT(IndHUF!H31),IndHUF!H31,"")</f>
        <v>20581832</v>
      </c>
      <c r="J14" s="280" t="str">
        <f>+IF(COUNT(IndHUF!I31),IndHUF!I31,"")</f>
        <v/>
      </c>
      <c r="K14" s="111" t="str">
        <f>+IF(COUNT(IndHUF!J31),IndHUF!J31,"")</f>
        <v/>
      </c>
      <c r="L14" s="111">
        <f>+IF(COUNT(IndHUF!K31),IndHUF!K31,"")</f>
        <v>20581832</v>
      </c>
      <c r="M14" s="144">
        <f>+IFERROR(IF(COUNT(L14),ROUND(L14/'Shareholding Pattern'!$L$78*100,2),""),0)</f>
        <v>41.48</v>
      </c>
      <c r="N14" s="161">
        <f>+IF(COUNT(+IndHUF!M31),SUM(+IndHUF!M31),"")</f>
        <v>20581832</v>
      </c>
      <c r="O14" s="161" t="str">
        <f>+IF(COUNT(+IndHUF!N31),SUM(+IndHUF!N31),"")</f>
        <v/>
      </c>
      <c r="P14" s="280">
        <f>+IF(COUNT(IndHUF!O31),IndHUF!O31,"")</f>
        <v>20581832</v>
      </c>
      <c r="Q14" s="144">
        <f>+IF(COUNT(IndHUF!P31),IndHUF!P31,"")</f>
        <v>41.48</v>
      </c>
      <c r="R14" s="280" t="str">
        <f>+IF(COUNT(IndHUF!Q31),IndHUF!Q31,"")</f>
        <v/>
      </c>
      <c r="S14" s="280" t="str">
        <f>+IF(COUNT(IndHUF!R31),IndHUF!R31,"")</f>
        <v/>
      </c>
      <c r="T14" s="280" t="str">
        <f>+IF(COUNT(IndHUF!S31),IndHUF!S31,"")</f>
        <v/>
      </c>
      <c r="U14" s="112">
        <f>+IFERROR(IF(COUNT(L14,T14),ROUND(SUM(L14,T14)/SUM('Shareholding Pattern'!$L$78,'Shareholding Pattern'!$T$78)*100,2),""),0)</f>
        <v>41.48</v>
      </c>
      <c r="V14" s="173" t="str">
        <f>+IF(COUNT(IndHUF!U31),IndHUF!U31,"")</f>
        <v/>
      </c>
      <c r="W14" s="157" t="str">
        <f>+IFERROR(IF(COUNT(V14),ROUND(SUM(V14)/SUM(L14)*100,2),""),0)</f>
        <v/>
      </c>
      <c r="X14" s="173" t="str">
        <f>+IF(COUNT(IndHUF!W31),IndHUF!W31,"")</f>
        <v/>
      </c>
      <c r="Y14" s="112" t="str">
        <f>+IFERROR(IF(COUNT(X14),ROUND(SUM(X14)/SUM(L14)*100,2),""),0)</f>
        <v/>
      </c>
      <c r="Z14" s="280">
        <f>+IF(COUNT(IndHUF!Y31),IndHUF!Y31,"")</f>
        <v>20581832</v>
      </c>
      <c r="AA14" s="512"/>
      <c r="AB14" s="513"/>
      <c r="AC14" s="514"/>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80"/>
      <c r="AB15" s="481"/>
      <c r="AC15" s="482"/>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80"/>
      <c r="AB16" s="481"/>
      <c r="AC16" s="482"/>
      <c r="AH16" t="s">
        <v>285</v>
      </c>
      <c r="AR16" t="s">
        <v>168</v>
      </c>
      <c r="AX16" t="s">
        <v>285</v>
      </c>
      <c r="AZ16" t="s">
        <v>199</v>
      </c>
      <c r="BF16" t="s">
        <v>305</v>
      </c>
    </row>
    <row r="17" spans="5:58" ht="20.100000000000001" customHeight="1">
      <c r="E17" s="91" t="s">
        <v>32</v>
      </c>
      <c r="F17" s="194" t="s">
        <v>33</v>
      </c>
      <c r="H17" s="163" t="str">
        <f>IFERROR(IF(COUNT(OtherIND!$AG$13),IF(OtherIND!$AG$13=0,"0",OtherIND!$AG$13),""),"")</f>
        <v/>
      </c>
      <c r="I17" s="281" t="str">
        <f>IFERROR(IF(COUNT(OtherIND!J16),(OtherIND!J16),""),"")</f>
        <v/>
      </c>
      <c r="J17" s="281" t="str">
        <f>IFERROR(IF(COUNT(OtherIND!K16),(OtherIND!K16),""),"")</f>
        <v/>
      </c>
      <c r="K17" s="113" t="str">
        <f>IFERROR(IF(COUNT(OtherIND!L16),(OtherIND!L16),""),"")</f>
        <v/>
      </c>
      <c r="L17" s="113" t="str">
        <f>IFERROR(IF(COUNT(OtherIND!M16),(OtherIND!M16),""),"")</f>
        <v/>
      </c>
      <c r="M17" s="177" t="str">
        <f>+IFERROR(IF(COUNT(L17),ROUND(L17/'Shareholding Pattern'!$L$78*100,2),""),0)</f>
        <v/>
      </c>
      <c r="N17" s="232" t="str">
        <f>IFERROR(IF(COUNT(OtherIND!O16),(OtherIND!O16),""),"")</f>
        <v/>
      </c>
      <c r="O17" s="161" t="str">
        <f>IFERROR(IF(COUNT(OtherIND!P16),(OtherIND!P16),""),"")</f>
        <v/>
      </c>
      <c r="P17" s="281" t="str">
        <f>IFERROR(IF(COUNT(OtherIND!Q16),(OtherIND!Q16),""),"")</f>
        <v/>
      </c>
      <c r="Q17" s="177" t="str">
        <f>IFERROR(IF(COUNT(OtherIND!R16),(OtherIND!R16),""),0)</f>
        <v/>
      </c>
      <c r="R17" s="281" t="str">
        <f>IFERROR(IF(COUNT(OtherIND!S16),(OtherIND!S16),""),"")</f>
        <v/>
      </c>
      <c r="S17" s="281" t="str">
        <f>IFERROR(IF(COUNT(OtherIND!T16),(OtherIND!T16),""),"")</f>
        <v/>
      </c>
      <c r="T17" s="281" t="str">
        <f>IFERROR(IF(COUNT(OtherIND!U16),(OtherIND!U16),""),"")</f>
        <v/>
      </c>
      <c r="U17" s="114" t="str">
        <f>+IFERROR(IF(COUNT(L17,T17),ROUND(SUM(L17,T17)/SUM('Shareholding Pattern'!$L$78,'Shareholding Pattern'!$T$78)*100,2),""),0)</f>
        <v/>
      </c>
      <c r="V17" s="173" t="str">
        <f>IFERROR(IF(COUNT(OtherIND!W16),(OtherIND!W16),""),"")</f>
        <v/>
      </c>
      <c r="W17" s="184" t="str">
        <f t="shared" si="0"/>
        <v/>
      </c>
      <c r="X17" s="173" t="str">
        <f>IFERROR(IF(COUNT(OtherIND!Y16),(OtherIND!Y16),""),"")</f>
        <v/>
      </c>
      <c r="Y17" s="114" t="str">
        <f t="shared" si="1"/>
        <v/>
      </c>
      <c r="Z17" s="281" t="str">
        <f>IFERROR(IF(COUNT(OtherIND!AA16),(OtherIND!AA16),""),"")</f>
        <v/>
      </c>
      <c r="AA17" s="480"/>
      <c r="AB17" s="481"/>
      <c r="AC17" s="482"/>
      <c r="AH17" t="s">
        <v>286</v>
      </c>
      <c r="AR17" t="s">
        <v>169</v>
      </c>
      <c r="AX17" t="s">
        <v>286</v>
      </c>
      <c r="AZ17" t="s">
        <v>332</v>
      </c>
      <c r="BF17" t="s">
        <v>315</v>
      </c>
    </row>
    <row r="18" spans="5:58" ht="20.100000000000001" customHeight="1">
      <c r="E18" s="469" t="s">
        <v>35</v>
      </c>
      <c r="F18" s="469"/>
      <c r="G18" s="469"/>
      <c r="H18" s="52">
        <f>+IFERROR(IF(COUNT(H14:H17),ROUND(SUM(H14:H17),0),""),"")</f>
        <v>15</v>
      </c>
      <c r="I18" s="52">
        <f t="shared" ref="I18:Z18" si="2">+IFERROR(IF(COUNT(I14:I17),ROUND(SUM(I14:I17),0),""),"")</f>
        <v>20581832</v>
      </c>
      <c r="J18" s="52" t="str">
        <f t="shared" si="2"/>
        <v/>
      </c>
      <c r="K18" s="4" t="str">
        <f t="shared" si="2"/>
        <v/>
      </c>
      <c r="L18" s="52">
        <f t="shared" si="2"/>
        <v>20581832</v>
      </c>
      <c r="M18" s="146">
        <f>+IFERROR(IF(COUNT(L18),ROUND(L18/'Shareholding Pattern'!$L$78*100,2),""),0)</f>
        <v>41.48</v>
      </c>
      <c r="N18" s="119">
        <f t="shared" si="2"/>
        <v>20581832</v>
      </c>
      <c r="O18" s="119" t="str">
        <f t="shared" si="2"/>
        <v/>
      </c>
      <c r="P18" s="52">
        <f t="shared" si="2"/>
        <v>20581832</v>
      </c>
      <c r="Q18" s="154">
        <f>IFERROR(IF(COUNT(P18),ROUND(P18/$P$79*100,2),""),0)</f>
        <v>41.48</v>
      </c>
      <c r="R18" s="52" t="str">
        <f t="shared" si="2"/>
        <v/>
      </c>
      <c r="S18" s="52" t="str">
        <f t="shared" si="2"/>
        <v/>
      </c>
      <c r="T18" s="52" t="str">
        <f t="shared" si="2"/>
        <v/>
      </c>
      <c r="U18" s="115">
        <f>+IFERROR(IF(COUNT(L18,T18),ROUND(SUM(L18,T18)/SUM('Shareholding Pattern'!$L$78,'Shareholding Pattern'!$T$78)*100,2),""),0)</f>
        <v>41.48</v>
      </c>
      <c r="V18" s="52" t="str">
        <f t="shared" si="2"/>
        <v/>
      </c>
      <c r="W18" s="158" t="str">
        <f>+IFERROR(IF(COUNT(V18),ROUND(SUM(V18)/SUM(L18)*100,2),""),0)</f>
        <v/>
      </c>
      <c r="X18" s="52" t="str">
        <f t="shared" si="2"/>
        <v/>
      </c>
      <c r="Y18" s="116" t="str">
        <f>+IFERROR(IF(COUNT(X18),ROUND(SUM(X18)/SUM(L18)*100,2),""),0)</f>
        <v/>
      </c>
      <c r="Z18" s="52">
        <f t="shared" si="2"/>
        <v>20581832</v>
      </c>
      <c r="AA18" s="483"/>
      <c r="AB18" s="484"/>
      <c r="AC18" s="485"/>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83"/>
      <c r="AB19" s="484"/>
      <c r="AC19" s="485"/>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80"/>
      <c r="AB20" s="481"/>
      <c r="AC20" s="482"/>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80"/>
      <c r="AB21" s="481"/>
      <c r="AC21" s="482"/>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80"/>
      <c r="AB22" s="481"/>
      <c r="AC22" s="482"/>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80"/>
      <c r="AB23" s="481"/>
      <c r="AC23" s="482"/>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80"/>
      <c r="AB24" s="481"/>
      <c r="AC24" s="482"/>
      <c r="AH24" t="s">
        <v>289</v>
      </c>
      <c r="AR24" t="s">
        <v>175</v>
      </c>
    </row>
    <row r="25" spans="5:58" ht="20.100000000000001" customHeight="1">
      <c r="E25" s="469" t="s">
        <v>43</v>
      </c>
      <c r="F25" s="469"/>
      <c r="G25" s="46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83"/>
      <c r="AB25" s="484"/>
      <c r="AC25" s="485"/>
      <c r="AR25" t="s">
        <v>176</v>
      </c>
    </row>
    <row r="26" spans="5:58" ht="36.75" customHeight="1">
      <c r="E26" s="470" t="s">
        <v>88</v>
      </c>
      <c r="F26" s="470"/>
      <c r="G26" s="470"/>
      <c r="H26" s="136">
        <f t="shared" ref="H26:Z26" si="6">+IFERROR(IF(COUNT(H18,H25),ROUND(SUM(H18,H25),0),""),"")</f>
        <v>15</v>
      </c>
      <c r="I26" s="136">
        <f t="shared" si="6"/>
        <v>20581832</v>
      </c>
      <c r="J26" s="136" t="str">
        <f t="shared" si="6"/>
        <v/>
      </c>
      <c r="K26" s="134" t="str">
        <f t="shared" si="6"/>
        <v/>
      </c>
      <c r="L26" s="136">
        <f t="shared" si="6"/>
        <v>20581832</v>
      </c>
      <c r="M26" s="146">
        <f>+IFERROR(IF(COUNT(L26),ROUND(L26/'Shareholding Pattern'!$L$78*100,2),""),0)</f>
        <v>41.48</v>
      </c>
      <c r="N26" s="135">
        <f t="shared" si="6"/>
        <v>20581832</v>
      </c>
      <c r="O26" s="135" t="str">
        <f t="shared" si="6"/>
        <v/>
      </c>
      <c r="P26" s="136">
        <f t="shared" si="6"/>
        <v>20581832</v>
      </c>
      <c r="Q26" s="154">
        <f>IFERROR(IF(COUNT(P26),ROUND(P26/$P$79*100,2),""),0)</f>
        <v>41.48</v>
      </c>
      <c r="R26" s="282" t="str">
        <f t="shared" si="6"/>
        <v/>
      </c>
      <c r="S26" s="282" t="str">
        <f t="shared" si="6"/>
        <v/>
      </c>
      <c r="T26" s="136" t="str">
        <f t="shared" si="6"/>
        <v/>
      </c>
      <c r="U26" s="115">
        <f>+IFERROR(IF(COUNT(L26,T26),ROUND(SUM(L26,T26)/SUM('Shareholding Pattern'!$L$78,'Shareholding Pattern'!$T$78)*100,2),""),0)</f>
        <v>41.48</v>
      </c>
      <c r="V26" s="136" t="str">
        <f t="shared" si="6"/>
        <v/>
      </c>
      <c r="W26" s="158" t="str">
        <f>+IFERROR(IF(COUNT(V26),ROUND(SUM(V26)/SUM(L26)*100,2),""),0)</f>
        <v/>
      </c>
      <c r="X26" s="136" t="str">
        <f t="shared" si="6"/>
        <v/>
      </c>
      <c r="Y26" s="116" t="str">
        <f t="shared" si="4"/>
        <v/>
      </c>
      <c r="Z26" s="136">
        <f t="shared" si="6"/>
        <v>20581832</v>
      </c>
      <c r="AA26" s="515"/>
      <c r="AB26" s="516"/>
      <c r="AC26" s="517"/>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24" t="s">
        <v>654</v>
      </c>
      <c r="G29" s="525"/>
      <c r="H29" s="525"/>
      <c r="I29" s="525"/>
      <c r="J29" s="525"/>
      <c r="K29" s="525"/>
      <c r="L29" s="525"/>
      <c r="M29" s="525"/>
      <c r="N29" s="525"/>
      <c r="O29" s="525"/>
      <c r="P29" s="525"/>
      <c r="Q29" s="525"/>
      <c r="R29" s="525"/>
      <c r="S29" s="525"/>
      <c r="T29" s="525"/>
      <c r="U29" s="525"/>
      <c r="V29" s="525"/>
      <c r="W29" s="525"/>
      <c r="X29" s="525"/>
      <c r="Y29" s="525"/>
      <c r="Z29" s="525"/>
      <c r="AA29" s="525"/>
      <c r="AB29" s="525"/>
      <c r="AC29" s="526"/>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96"/>
      <c r="Y30" s="497"/>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98"/>
      <c r="Y31" s="499"/>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98"/>
      <c r="Y32" s="499"/>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98"/>
      <c r="Y33" s="499"/>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98"/>
      <c r="Y34" s="499"/>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98"/>
      <c r="Y35" s="499"/>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98"/>
      <c r="Y36" s="499"/>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98"/>
      <c r="Y37" s="499"/>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98"/>
      <c r="Y38" s="499"/>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98"/>
      <c r="Y39" s="499"/>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98"/>
      <c r="Y40" s="499"/>
      <c r="Z40" s="240"/>
      <c r="AA40" s="240"/>
      <c r="AB40" s="240"/>
      <c r="AC40" s="240"/>
      <c r="AH40" t="s">
        <v>297</v>
      </c>
      <c r="AR40" t="s">
        <v>722</v>
      </c>
      <c r="AX40" t="s">
        <v>297</v>
      </c>
      <c r="AZ40" t="s">
        <v>752</v>
      </c>
      <c r="BF40" t="s">
        <v>750</v>
      </c>
    </row>
    <row r="41" spans="5:58" ht="20.100000000000001" customHeight="1">
      <c r="E41" s="469" t="s">
        <v>56</v>
      </c>
      <c r="F41" s="469"/>
      <c r="G41" s="46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500"/>
      <c r="Y41" s="501"/>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72" t="s">
        <v>655</v>
      </c>
      <c r="G42" s="473"/>
      <c r="H42" s="473"/>
      <c r="I42" s="473"/>
      <c r="J42" s="473"/>
      <c r="K42" s="473"/>
      <c r="L42" s="473"/>
      <c r="M42" s="473"/>
      <c r="N42" s="473"/>
      <c r="O42" s="473"/>
      <c r="P42" s="473"/>
      <c r="Q42" s="473"/>
      <c r="R42" s="473"/>
      <c r="S42" s="473"/>
      <c r="T42" s="473"/>
      <c r="U42" s="473"/>
      <c r="V42" s="473"/>
      <c r="W42" s="473"/>
      <c r="X42" s="473"/>
      <c r="Y42" s="473"/>
      <c r="Z42" s="473"/>
      <c r="AA42" s="473"/>
      <c r="AB42" s="473"/>
      <c r="AC42" s="474"/>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96"/>
      <c r="Y43" s="497"/>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98"/>
      <c r="Y44" s="499"/>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98"/>
      <c r="Y45" s="499"/>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98"/>
      <c r="Y46" s="499"/>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98"/>
      <c r="Y47" s="499"/>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98"/>
      <c r="Y48" s="499"/>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98"/>
      <c r="Y49" s="499"/>
      <c r="Z49" s="240"/>
      <c r="AA49" s="240"/>
      <c r="AB49" s="240"/>
      <c r="AC49" s="240"/>
      <c r="AH49" t="s">
        <v>827</v>
      </c>
      <c r="AR49" t="s">
        <v>727</v>
      </c>
      <c r="AX49" t="s">
        <v>827</v>
      </c>
      <c r="AZ49" t="s">
        <v>764</v>
      </c>
      <c r="BF49" t="s">
        <v>763</v>
      </c>
    </row>
    <row r="50" spans="5:58" ht="20.100000000000001" customHeight="1">
      <c r="E50" s="469" t="s">
        <v>60</v>
      </c>
      <c r="F50" s="469"/>
      <c r="G50" s="46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500"/>
      <c r="Y50" s="501"/>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72" t="s">
        <v>658</v>
      </c>
      <c r="G51" s="473"/>
      <c r="H51" s="473"/>
      <c r="I51" s="473"/>
      <c r="J51" s="473"/>
      <c r="K51" s="473"/>
      <c r="L51" s="473"/>
      <c r="M51" s="473"/>
      <c r="N51" s="473"/>
      <c r="O51" s="473"/>
      <c r="P51" s="473"/>
      <c r="Q51" s="473"/>
      <c r="R51" s="473"/>
      <c r="S51" s="473"/>
      <c r="T51" s="473"/>
      <c r="U51" s="473"/>
      <c r="V51" s="473"/>
      <c r="W51" s="473"/>
      <c r="X51" s="473"/>
      <c r="Y51" s="473"/>
      <c r="Z51" s="473"/>
      <c r="AA51" s="473"/>
      <c r="AB51" s="473"/>
      <c r="AC51" s="474"/>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96"/>
      <c r="Y52" s="497"/>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98"/>
      <c r="Y53" s="499"/>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98"/>
      <c r="Y54" s="499"/>
      <c r="Z54" s="240"/>
      <c r="AA54" s="240"/>
      <c r="AB54" s="240"/>
      <c r="AC54" s="240"/>
      <c r="AH54" t="s">
        <v>829</v>
      </c>
      <c r="AR54" t="s">
        <v>730</v>
      </c>
      <c r="AX54" t="s">
        <v>829</v>
      </c>
      <c r="AZ54" t="s">
        <v>770</v>
      </c>
      <c r="BF54" t="s">
        <v>769</v>
      </c>
    </row>
    <row r="55" spans="5:58" ht="20.100000000000001" customHeight="1">
      <c r="E55" s="469" t="s">
        <v>65</v>
      </c>
      <c r="F55" s="469"/>
      <c r="G55" s="46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98"/>
      <c r="Y55" s="499"/>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98"/>
      <c r="Y56" s="499"/>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98"/>
      <c r="Y57" s="499"/>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98"/>
      <c r="Y58" s="499"/>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98"/>
      <c r="Y59" s="499"/>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98"/>
      <c r="Y60" s="499"/>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98"/>
      <c r="Y61" s="499"/>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98"/>
      <c r="Y62" s="499"/>
      <c r="Z62" s="240"/>
      <c r="AA62" s="240"/>
      <c r="AB62" s="240"/>
      <c r="AC62" s="240"/>
      <c r="AH62" t="s">
        <v>834</v>
      </c>
      <c r="AR62" t="s">
        <v>736</v>
      </c>
      <c r="AX62" t="s">
        <v>834</v>
      </c>
      <c r="AZ62" t="s">
        <v>782</v>
      </c>
      <c r="BF62" t="s">
        <v>781</v>
      </c>
    </row>
    <row r="63" spans="5:58" ht="51.75" customHeight="1">
      <c r="E63" s="314" t="s">
        <v>51</v>
      </c>
      <c r="F63" s="312" t="s">
        <v>649</v>
      </c>
      <c r="H63" s="240">
        <v>3733</v>
      </c>
      <c r="I63" s="240">
        <v>2563373</v>
      </c>
      <c r="J63" s="240"/>
      <c r="K63" s="240"/>
      <c r="L63" s="183">
        <f t="shared" si="40"/>
        <v>2563373</v>
      </c>
      <c r="M63" s="339">
        <f>+IFERROR(IF(COUNT(L63),ROUND(L63/'Shareholding Pattern'!$L$78*100,2),""),"")</f>
        <v>5.17</v>
      </c>
      <c r="N63" s="240">
        <v>2563373</v>
      </c>
      <c r="O63" s="240"/>
      <c r="P63" s="183">
        <f t="shared" si="38"/>
        <v>2563373</v>
      </c>
      <c r="Q63" s="151">
        <f>+IFERROR(IF(COUNT(P63),ROUND(P63/'Shareholding Pattern'!$P$79*100,2),""),"")</f>
        <v>5.17</v>
      </c>
      <c r="R63" s="240"/>
      <c r="S63" s="240"/>
      <c r="T63" s="183" t="str">
        <f t="shared" si="41"/>
        <v/>
      </c>
      <c r="U63" s="180">
        <f>+IFERROR(IF(COUNT(L63,T63),ROUND(SUM(L63,T63)/SUM('Shareholding Pattern'!$L$78,'Shareholding Pattern'!$T$78)*100,2),""),"")</f>
        <v>5.17</v>
      </c>
      <c r="V63" s="240"/>
      <c r="W63" s="157" t="str">
        <f t="shared" si="39"/>
        <v/>
      </c>
      <c r="X63" s="498"/>
      <c r="Y63" s="499"/>
      <c r="Z63" s="240">
        <v>2303454</v>
      </c>
      <c r="AA63" s="240">
        <v>0</v>
      </c>
      <c r="AB63" s="240">
        <v>0</v>
      </c>
      <c r="AC63" s="240">
        <v>0</v>
      </c>
      <c r="AH63" t="s">
        <v>195</v>
      </c>
      <c r="AR63" t="s">
        <v>737</v>
      </c>
      <c r="AX63" t="s">
        <v>195</v>
      </c>
      <c r="AZ63" t="s">
        <v>784</v>
      </c>
      <c r="BF63" t="s">
        <v>783</v>
      </c>
    </row>
    <row r="64" spans="5:58" ht="43.5" customHeight="1">
      <c r="E64" s="314" t="s">
        <v>53</v>
      </c>
      <c r="F64" s="199" t="s">
        <v>650</v>
      </c>
      <c r="H64" s="240">
        <v>119</v>
      </c>
      <c r="I64" s="240">
        <v>15895164</v>
      </c>
      <c r="J64" s="240"/>
      <c r="K64" s="240"/>
      <c r="L64" s="183">
        <f t="shared" si="40"/>
        <v>15895164</v>
      </c>
      <c r="M64" s="339">
        <f>+IFERROR(IF(COUNT(L64),ROUND(L64/'Shareholding Pattern'!$L$78*100,2),""),"")</f>
        <v>32.04</v>
      </c>
      <c r="N64" s="240">
        <v>15895164</v>
      </c>
      <c r="O64" s="240"/>
      <c r="P64" s="183">
        <f t="shared" si="38"/>
        <v>15895164</v>
      </c>
      <c r="Q64" s="151">
        <f>+IFERROR(IF(COUNT(P64),ROUND(P64/'Shareholding Pattern'!$P$79*100,2),""),"")</f>
        <v>32.04</v>
      </c>
      <c r="R64" s="240"/>
      <c r="S64" s="240"/>
      <c r="T64" s="183" t="str">
        <f t="shared" si="41"/>
        <v/>
      </c>
      <c r="U64" s="180">
        <f>+IFERROR(IF(COUNT(L64,T64),ROUND(SUM(L64,T64)/SUM('Shareholding Pattern'!$L$78,'Shareholding Pattern'!$T$78)*100,2),""),"")</f>
        <v>32.04</v>
      </c>
      <c r="V64" s="240"/>
      <c r="W64" s="157" t="str">
        <f t="shared" si="39"/>
        <v/>
      </c>
      <c r="X64" s="498"/>
      <c r="Y64" s="499"/>
      <c r="Z64" s="240">
        <v>15895063</v>
      </c>
      <c r="AA64" s="240">
        <v>0</v>
      </c>
      <c r="AB64" s="240">
        <v>0</v>
      </c>
      <c r="AC64" s="240">
        <v>0</v>
      </c>
      <c r="AH64" t="s">
        <v>196</v>
      </c>
      <c r="AR64" t="s">
        <v>738</v>
      </c>
      <c r="AX64" t="s">
        <v>196</v>
      </c>
      <c r="AZ64" t="s">
        <v>786</v>
      </c>
      <c r="BF64" t="s">
        <v>785</v>
      </c>
    </row>
    <row r="65" spans="5:58" ht="43.5" customHeight="1">
      <c r="E65" s="314" t="s">
        <v>55</v>
      </c>
      <c r="F65" s="199" t="s">
        <v>667</v>
      </c>
      <c r="H65" s="240">
        <v>9</v>
      </c>
      <c r="I65" s="240">
        <v>11518</v>
      </c>
      <c r="J65" s="240"/>
      <c r="K65" s="240"/>
      <c r="L65" s="183">
        <f t="shared" si="40"/>
        <v>11518</v>
      </c>
      <c r="M65" s="339">
        <f>+IFERROR(IF(COUNT(L65),ROUND(L65/'Shareholding Pattern'!$L$78*100,2),""),"")</f>
        <v>0.02</v>
      </c>
      <c r="N65" s="240">
        <v>11518</v>
      </c>
      <c r="O65" s="240"/>
      <c r="P65" s="183">
        <f t="shared" si="38"/>
        <v>11518</v>
      </c>
      <c r="Q65" s="151">
        <f>+IFERROR(IF(COUNT(P65),ROUND(P65/'Shareholding Pattern'!$P$79*100,2),""),"")</f>
        <v>0.02</v>
      </c>
      <c r="R65" s="240"/>
      <c r="S65" s="240"/>
      <c r="T65" s="183" t="str">
        <f t="shared" si="41"/>
        <v/>
      </c>
      <c r="U65" s="180">
        <f>+IFERROR(IF(COUNT(L65,T65),ROUND(SUM(L65,T65)/SUM('Shareholding Pattern'!$L$78,'Shareholding Pattern'!$T$78)*100,2),""),"")</f>
        <v>0.02</v>
      </c>
      <c r="V65" s="240"/>
      <c r="W65" s="157" t="str">
        <f t="shared" si="39"/>
        <v/>
      </c>
      <c r="X65" s="498"/>
      <c r="Y65" s="499"/>
      <c r="Z65" s="240">
        <v>11518</v>
      </c>
      <c r="AA65" s="240">
        <v>0</v>
      </c>
      <c r="AB65" s="240">
        <v>0</v>
      </c>
      <c r="AC65" s="240">
        <v>0</v>
      </c>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98"/>
      <c r="Y66" s="499"/>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98"/>
      <c r="Y67" s="499"/>
      <c r="Z67" s="240"/>
      <c r="AA67" s="240"/>
      <c r="AB67" s="240"/>
      <c r="AC67" s="240"/>
      <c r="AH67" t="s">
        <v>668</v>
      </c>
      <c r="AR67" t="s">
        <v>741</v>
      </c>
      <c r="AX67" t="s">
        <v>668</v>
      </c>
      <c r="AZ67" t="s">
        <v>792</v>
      </c>
      <c r="BF67" t="s">
        <v>791</v>
      </c>
    </row>
    <row r="68" spans="5:58" ht="39" customHeight="1">
      <c r="E68" s="314" t="s">
        <v>673</v>
      </c>
      <c r="F68" s="199" t="s">
        <v>440</v>
      </c>
      <c r="H68" s="240">
        <v>30</v>
      </c>
      <c r="I68" s="240">
        <v>9000508</v>
      </c>
      <c r="J68" s="240"/>
      <c r="K68" s="240"/>
      <c r="L68" s="183">
        <f t="shared" si="40"/>
        <v>9000508</v>
      </c>
      <c r="M68" s="339">
        <f>+IFERROR(IF(COUNT(L68),ROUND(L68/'Shareholding Pattern'!$L$78*100,2),""),"")</f>
        <v>18.14</v>
      </c>
      <c r="N68" s="240">
        <v>9000508</v>
      </c>
      <c r="O68" s="240"/>
      <c r="P68" s="183">
        <f t="shared" si="38"/>
        <v>9000508</v>
      </c>
      <c r="Q68" s="151">
        <f>+IFERROR(IF(COUNT(P68),ROUND(P68/'Shareholding Pattern'!$P$79*100,2),""),"")</f>
        <v>18.14</v>
      </c>
      <c r="R68" s="240"/>
      <c r="S68" s="240"/>
      <c r="T68" s="183" t="str">
        <f t="shared" si="41"/>
        <v/>
      </c>
      <c r="U68" s="180">
        <f>+IFERROR(IF(COUNT(L68,T68),ROUND(SUM(L68,T68)/SUM('Shareholding Pattern'!$L$78,'Shareholding Pattern'!$T$78)*100,2),""),"")</f>
        <v>18.14</v>
      </c>
      <c r="V68" s="240"/>
      <c r="W68" s="157" t="str">
        <f t="shared" si="39"/>
        <v/>
      </c>
      <c r="X68" s="498"/>
      <c r="Y68" s="499"/>
      <c r="Z68" s="240">
        <v>8985508</v>
      </c>
      <c r="AA68" s="240">
        <v>0</v>
      </c>
      <c r="AB68" s="240">
        <v>0</v>
      </c>
      <c r="AC68" s="240">
        <v>0</v>
      </c>
      <c r="AH68" t="s">
        <v>440</v>
      </c>
      <c r="AR68" t="s">
        <v>742</v>
      </c>
      <c r="AX68" t="s">
        <v>440</v>
      </c>
      <c r="AZ68" t="s">
        <v>794</v>
      </c>
      <c r="BF68" t="s">
        <v>793</v>
      </c>
    </row>
    <row r="69" spans="5:58" ht="20.100000000000001" customHeight="1">
      <c r="E69" s="314" t="s">
        <v>674</v>
      </c>
      <c r="F69" s="200" t="s">
        <v>33</v>
      </c>
      <c r="H69" s="240">
        <v>116</v>
      </c>
      <c r="I69" s="240">
        <v>1565505</v>
      </c>
      <c r="J69" s="240"/>
      <c r="K69" s="240"/>
      <c r="L69" s="183">
        <f t="shared" si="40"/>
        <v>1565505</v>
      </c>
      <c r="M69" s="339">
        <f>+IFERROR(IF(COUNT(L69),ROUND(L69/'Shareholding Pattern'!$L$78*100,2),""),"")</f>
        <v>3.16</v>
      </c>
      <c r="N69" s="240">
        <v>1565505</v>
      </c>
      <c r="O69" s="240"/>
      <c r="P69" s="183">
        <f t="shared" si="38"/>
        <v>1565505</v>
      </c>
      <c r="Q69" s="151">
        <f>+IFERROR(IF(COUNT(P69),ROUND(P69/'Shareholding Pattern'!$P$79*100,2),""),"")</f>
        <v>3.16</v>
      </c>
      <c r="R69" s="240"/>
      <c r="S69" s="240"/>
      <c r="T69" s="183" t="str">
        <f t="shared" si="41"/>
        <v/>
      </c>
      <c r="U69" s="180">
        <f>+IFERROR(IF(COUNT(L69,T69),ROUND(SUM(L69,T69)/SUM('Shareholding Pattern'!$L$78,'Shareholding Pattern'!$T$78)*100,2),""),"")</f>
        <v>3.16</v>
      </c>
      <c r="V69" s="240"/>
      <c r="W69" s="157" t="str">
        <f t="shared" si="39"/>
        <v/>
      </c>
      <c r="X69" s="498"/>
      <c r="Y69" s="499"/>
      <c r="Z69" s="240">
        <v>1565505</v>
      </c>
      <c r="AA69" s="240">
        <v>0</v>
      </c>
      <c r="AB69" s="240">
        <v>0</v>
      </c>
      <c r="AC69" s="240">
        <v>0</v>
      </c>
      <c r="AH69" t="s">
        <v>799</v>
      </c>
      <c r="AR69" t="s">
        <v>185</v>
      </c>
      <c r="AX69" t="s">
        <v>799</v>
      </c>
      <c r="AZ69" t="s">
        <v>796</v>
      </c>
      <c r="BF69" t="s">
        <v>795</v>
      </c>
    </row>
    <row r="70" spans="5:58" ht="20.100000000000001" customHeight="1">
      <c r="E70" s="469" t="s">
        <v>675</v>
      </c>
      <c r="F70" s="469"/>
      <c r="G70" s="469"/>
      <c r="H70" s="52">
        <f>+IFERROR(IF(COUNT(H57:H69),ROUND(SUM(H57:H69),0),""),"")</f>
        <v>4007</v>
      </c>
      <c r="I70" s="52">
        <f>+IFERROR(IF(COUNT(I57:I69),ROUND(SUM(I57:I69),0),""),"")</f>
        <v>29036068</v>
      </c>
      <c r="J70" s="52" t="str">
        <f>+IFERROR(IF(COUNT(J57:J69),ROUND(SUM(J57:J69),0),""),"")</f>
        <v/>
      </c>
      <c r="K70" s="4" t="str">
        <f>+IFERROR(IF(COUNT(K57:K69),ROUND(SUM(K57:K69),0),""),"")</f>
        <v/>
      </c>
      <c r="L70" s="164">
        <f t="shared" ref="L70:L71" si="42">+IFERROR(IF(COUNT(I70:K70),ROUND(SUM(I70:K70),0),""),"")</f>
        <v>29036068</v>
      </c>
      <c r="M70" s="148">
        <f>+IFERROR(IF(COUNT(L70),ROUND(L70/'Shareholding Pattern'!$L$78*100,2),""),"")</f>
        <v>58.52</v>
      </c>
      <c r="N70" s="119">
        <f>+IFERROR(IF(COUNT(N57:N69),ROUND(SUM(N57:N69),0),""),"")</f>
        <v>29036068</v>
      </c>
      <c r="O70" s="119" t="str">
        <f>+IFERROR(IF(COUNT(O57:O69),ROUND(SUM(O57:O69),0),""),"")</f>
        <v/>
      </c>
      <c r="P70" s="164">
        <f t="shared" ref="P70" si="43">+IFERROR(IF(COUNT(N70:O70),ROUND(SUM(N70:O70),0),""),"")</f>
        <v>29036068</v>
      </c>
      <c r="Q70" s="152">
        <f>+IFERROR(IF(COUNT(P70),ROUND(P70/'Shareholding Pattern'!$P$79*100,2),""),"")</f>
        <v>58.52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58.52</v>
      </c>
      <c r="V70" s="119" t="str">
        <f>+IFERROR(IF(COUNT(V57:V69),ROUND(SUM(V57:V69),0),""),"")</f>
        <v/>
      </c>
      <c r="W70" s="158" t="str">
        <f t="shared" si="39"/>
        <v/>
      </c>
      <c r="X70" s="498"/>
      <c r="Y70" s="499"/>
      <c r="Z70" s="52">
        <f>+IFERROR(IF(COUNT(Z57:Z69),ROUND(SUM(Z57:Z69),0),""),"")</f>
        <v>28761048</v>
      </c>
      <c r="AA70" s="52">
        <f t="shared" ref="AA70:AC70" si="45">+IFERROR(IF(COUNT(AA57:AA69),ROUND(SUM(AA57:AA69),0),""),"")</f>
        <v>0</v>
      </c>
      <c r="AB70" s="52">
        <f t="shared" si="45"/>
        <v>0</v>
      </c>
      <c r="AC70" s="52">
        <f t="shared" si="45"/>
        <v>0</v>
      </c>
      <c r="AR70" t="s">
        <v>186</v>
      </c>
    </row>
    <row r="71" spans="5:58" ht="20.100000000000001" customHeight="1">
      <c r="E71" s="470" t="s">
        <v>676</v>
      </c>
      <c r="F71" s="470"/>
      <c r="G71" s="470"/>
      <c r="H71" s="52">
        <f>+IFERROR(IF(COUNT(H41,H50,H55,H70),ROUND(SUM(H41,H50,H55,H70),0),""),"")</f>
        <v>4007</v>
      </c>
      <c r="I71" s="52">
        <f t="shared" ref="I71:K71" si="46">+IFERROR(IF(COUNT(I41,I50,I55,I70),ROUND(SUM(I41,I50,I55,I70),0),""),"")</f>
        <v>29036068</v>
      </c>
      <c r="J71" s="52" t="str">
        <f t="shared" si="46"/>
        <v/>
      </c>
      <c r="K71" s="52" t="str">
        <f t="shared" si="46"/>
        <v/>
      </c>
      <c r="L71" s="164">
        <f t="shared" si="42"/>
        <v>29036068</v>
      </c>
      <c r="M71" s="148">
        <f>+IFERROR(IF(COUNT(L71),ROUND(L71/'Shareholding Pattern'!$L$78*100,2),""),"")</f>
        <v>58.52</v>
      </c>
      <c r="N71" s="52">
        <f t="shared" ref="N71" si="47">+IFERROR(IF(COUNT(N41,N50,N55,N70),ROUND(SUM(N41,N50,N55,N70),0),""),"")</f>
        <v>29036068</v>
      </c>
      <c r="O71" s="52" t="str">
        <f t="shared" ref="O71:P71" si="48">+IFERROR(IF(COUNT(O41,O50,O55,O70),ROUND(SUM(O41,O50,O55,O70),0),""),"")</f>
        <v/>
      </c>
      <c r="P71" s="52">
        <f t="shared" si="48"/>
        <v>29036068</v>
      </c>
      <c r="Q71" s="152">
        <f>+IFERROR(IF(COUNT(P71),ROUND(P71/'Shareholding Pattern'!$P$79*100,2),""),"")</f>
        <v>58.52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58.52</v>
      </c>
      <c r="V71" s="52" t="str">
        <f t="shared" ref="V71" si="52">+IFERROR(IF(COUNT(V41,V50,V55,V70),ROUND(SUM(V41,V50,V55,V70),0),""),"")</f>
        <v/>
      </c>
      <c r="W71" s="158" t="str">
        <f t="shared" si="39"/>
        <v/>
      </c>
      <c r="X71" s="500"/>
      <c r="Y71" s="501"/>
      <c r="Z71" s="52">
        <f t="shared" ref="Z71" si="53">+IFERROR(IF(COUNT(Z41,Z50,Z55,Z70),ROUND(SUM(Z41,Z50,Z55,Z70),0),""),"")</f>
        <v>28761048</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75" t="s">
        <v>58</v>
      </c>
      <c r="G74" s="476"/>
      <c r="H74" s="476"/>
      <c r="I74" s="476"/>
      <c r="J74" s="476"/>
      <c r="K74" s="476"/>
      <c r="L74" s="476"/>
      <c r="M74" s="476"/>
      <c r="N74" s="476"/>
      <c r="O74" s="476"/>
      <c r="P74" s="476"/>
      <c r="Q74" s="476"/>
      <c r="R74" s="476"/>
      <c r="S74" s="476"/>
      <c r="T74" s="476"/>
      <c r="U74" s="476"/>
      <c r="V74" s="476"/>
      <c r="W74" s="476"/>
      <c r="X74" s="476"/>
      <c r="Y74" s="476"/>
      <c r="Z74" s="476"/>
      <c r="AA74" s="476"/>
      <c r="AB74" s="476"/>
      <c r="AC74" s="477"/>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505"/>
      <c r="Y75" s="506"/>
      <c r="Z75" s="240"/>
      <c r="AA75" s="480"/>
      <c r="AB75" s="481"/>
      <c r="AC75" s="482"/>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507"/>
      <c r="Y76" s="508"/>
      <c r="Z76" s="240"/>
      <c r="AA76" s="480"/>
      <c r="AB76" s="481"/>
      <c r="AC76" s="482"/>
      <c r="AH76" t="s">
        <v>198</v>
      </c>
      <c r="AR76" t="s">
        <v>189</v>
      </c>
      <c r="AX76" t="s">
        <v>198</v>
      </c>
      <c r="AZ76" t="s">
        <v>835</v>
      </c>
      <c r="BF76" t="s">
        <v>836</v>
      </c>
    </row>
    <row r="77" spans="5:58" ht="31.5" customHeight="1">
      <c r="E77" s="471" t="s">
        <v>67</v>
      </c>
      <c r="F77" s="471"/>
      <c r="G77" s="471"/>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507"/>
      <c r="Y77" s="508"/>
      <c r="Z77" s="127" t="str">
        <f t="shared" si="58"/>
        <v/>
      </c>
      <c r="AA77" s="483"/>
      <c r="AB77" s="484"/>
      <c r="AC77" s="485"/>
      <c r="AR77" t="s">
        <v>190</v>
      </c>
    </row>
    <row r="78" spans="5:58" ht="26.25" customHeight="1">
      <c r="E78" s="491" t="s">
        <v>68</v>
      </c>
      <c r="F78" s="491"/>
      <c r="G78" s="491"/>
      <c r="H78" s="127">
        <f>+IFERROR(IF(COUNT(H26,H71,H76),ROUND(SUM(H26,H71,H76),0),""),"")</f>
        <v>4022</v>
      </c>
      <c r="I78" s="127">
        <f>+IFERROR(IF(COUNT(I26,I71,I76),ROUND(SUM(I26,I71,I76),0),""),"")</f>
        <v>49617900</v>
      </c>
      <c r="J78" s="127" t="str">
        <f>+IFERROR(IF(COUNT(J26,J71,J76),ROUND(SUM(J26,J71,J76),0),""),"")</f>
        <v/>
      </c>
      <c r="K78" s="127" t="str">
        <f>+IFERROR(IF(COUNT(K26,K71,K76),ROUND(SUM(K26,K71,K76),0),""),"")</f>
        <v/>
      </c>
      <c r="L78" s="127">
        <f>+IFERROR(IF(COUNT(L26,L71,L76),ROUND(SUM(L26,L71,L76),0),""),"")</f>
        <v>49617900</v>
      </c>
      <c r="M78" s="150">
        <f>+IFERROR(IF(COUNT(L78),ROUND(L78/'Shareholding Pattern'!$L$78*100,2),""),0)</f>
        <v>100</v>
      </c>
      <c r="N78" s="131">
        <f>+IFERROR(IF(COUNT(N26,N71,N76),ROUND(SUM(N26,N71,N76),0),""),"")</f>
        <v>49617900</v>
      </c>
      <c r="O78" s="131" t="str">
        <f>+IFERROR(IF(COUNT(O26,O71,O76),ROUND(SUM(O26,O71,O76),0),""),"")</f>
        <v/>
      </c>
      <c r="P78" s="127">
        <f>+IFERROR(IF(COUNT(P26,P71,P76),ROUND(SUM(P26,P71,P76),0),""),"")</f>
        <v>49617900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509"/>
      <c r="Y78" s="510"/>
      <c r="Z78" s="127">
        <f>+IFERROR(IF(COUNT(Z26,Z71,Z76),ROUND(SUM(Z26,Z71,Z76),0),""),"")</f>
        <v>49342880</v>
      </c>
      <c r="AA78" s="127">
        <f t="shared" ref="AA78:AC78" si="59">+IFERROR(IF(COUNT(AA26,AA71,AA76),ROUND(SUM(AA26,AA71,AA76),0),""),"")</f>
        <v>0</v>
      </c>
      <c r="AB78" s="127">
        <f t="shared" si="59"/>
        <v>0</v>
      </c>
      <c r="AC78" s="127">
        <f t="shared" si="59"/>
        <v>0</v>
      </c>
    </row>
    <row r="79" spans="5:58" ht="22.5" customHeight="1">
      <c r="E79" s="491" t="s">
        <v>69</v>
      </c>
      <c r="F79" s="491"/>
      <c r="G79" s="491"/>
      <c r="H79" s="127">
        <f>+IFERROR(IF(COUNT(H26,H71,H77),ROUND(SUM(H26,H71,H77),0),""),"")</f>
        <v>4022</v>
      </c>
      <c r="I79" s="127">
        <f>+IFERROR(IF(COUNT(I26,I71,I77),ROUND(SUM(I26,I71,I77),0),""),"")</f>
        <v>49617900</v>
      </c>
      <c r="J79" s="127" t="str">
        <f>+IFERROR(IF(COUNT(J26,J71,J77),ROUND(SUM(J26,J71,J77),0),""),"")</f>
        <v/>
      </c>
      <c r="K79" s="127" t="str">
        <f>+IFERROR(IF(COUNT(K26,K71,K77),ROUND(SUM(K26,K71,K77),0),""),"")</f>
        <v/>
      </c>
      <c r="L79" s="127">
        <f>+IFERROR(IF(COUNT(L26,L71,L77),ROUND(SUM(L26,L71,L77),0),""),"")</f>
        <v>49617900</v>
      </c>
      <c r="M79" s="236">
        <f>+IFERROR(IF(COUNT(L78),ROUND(L78/'Shareholding Pattern'!$L$78*100,2),""),"")</f>
        <v>100</v>
      </c>
      <c r="N79" s="131">
        <f>+IFERROR(IF(COUNT(N26,N71,N77),ROUND(SUM(N26,N71,N77),0),""),"")</f>
        <v>49617900</v>
      </c>
      <c r="O79" s="131" t="str">
        <f>+IFERROR(IF(COUNT(O26,O71,O77),ROUND(SUM(O26,O71,O77),0),""),"")</f>
        <v/>
      </c>
      <c r="P79" s="127">
        <f>+IFERROR(IF(COUNT(P26,P71,P77),ROUND(SUM(P26,P71,P77),0),""),"")</f>
        <v>49617900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49342880</v>
      </c>
      <c r="AA79" s="127">
        <f t="shared" ref="AA79:AC79" si="60">+IFERROR(IF(COUNT(AA26,AA71,AA77),ROUND(SUM(AA26,AA71,AA77),0),""),"")</f>
        <v>0</v>
      </c>
      <c r="AB79" s="127">
        <f t="shared" si="60"/>
        <v>0</v>
      </c>
      <c r="AC79" s="127">
        <f t="shared" si="60"/>
        <v>0</v>
      </c>
      <c r="AR79" t="s">
        <v>191</v>
      </c>
    </row>
    <row r="80" spans="5:58" ht="35.1" customHeight="1">
      <c r="E80" s="466" t="s">
        <v>165</v>
      </c>
      <c r="F80" s="467"/>
      <c r="G80" s="467"/>
      <c r="H80" s="467"/>
      <c r="I80" s="467"/>
      <c r="J80" s="467"/>
      <c r="K80" s="467"/>
      <c r="L80" s="467"/>
      <c r="M80" s="468"/>
      <c r="N80" s="464"/>
      <c r="O80" s="465"/>
      <c r="P80" s="288"/>
      <c r="Q80" s="210"/>
      <c r="R80" s="286"/>
      <c r="S80" s="286"/>
      <c r="T80" s="286"/>
      <c r="U80" s="210"/>
      <c r="V80" s="210"/>
      <c r="W80" s="210"/>
      <c r="X80" s="478"/>
      <c r="Y80" s="478"/>
      <c r="Z80" s="478"/>
      <c r="AA80" s="478"/>
      <c r="AB80" s="478"/>
      <c r="AC80" s="479"/>
    </row>
    <row r="81" spans="5:29" ht="35.1" customHeight="1">
      <c r="E81" s="466" t="s">
        <v>529</v>
      </c>
      <c r="F81" s="467"/>
      <c r="G81" s="467"/>
      <c r="H81" s="467"/>
      <c r="I81" s="467"/>
      <c r="J81" s="467"/>
      <c r="K81" s="467"/>
      <c r="L81" s="467"/>
      <c r="M81" s="468"/>
      <c r="N81" s="495"/>
      <c r="O81" s="465"/>
      <c r="P81" s="288"/>
      <c r="Q81" s="210"/>
      <c r="R81" s="286"/>
      <c r="S81" s="286"/>
      <c r="T81" s="286"/>
      <c r="U81" s="210"/>
      <c r="V81" s="210"/>
      <c r="W81" s="210"/>
      <c r="X81" s="478"/>
      <c r="Y81" s="478"/>
      <c r="Z81" s="478"/>
      <c r="AA81" s="478"/>
      <c r="AB81" s="478"/>
      <c r="AC81" s="479"/>
    </row>
    <row r="82" spans="5:29" ht="35.1" customHeight="1">
      <c r="E82" s="466" t="s">
        <v>530</v>
      </c>
      <c r="F82" s="467"/>
      <c r="G82" s="467"/>
      <c r="H82" s="467"/>
      <c r="I82" s="467"/>
      <c r="J82" s="467"/>
      <c r="K82" s="467"/>
      <c r="L82" s="467"/>
      <c r="M82" s="468"/>
      <c r="N82" s="495"/>
      <c r="O82" s="465"/>
      <c r="P82" s="288"/>
      <c r="Q82" s="210"/>
      <c r="R82" s="286"/>
      <c r="S82" s="286"/>
      <c r="T82" s="286"/>
      <c r="U82" s="210"/>
      <c r="V82" s="210"/>
      <c r="W82" s="210"/>
      <c r="X82" s="478"/>
      <c r="Y82" s="478"/>
      <c r="Z82" s="478"/>
      <c r="AA82" s="478"/>
      <c r="AB82" s="478"/>
      <c r="AC82" s="479"/>
    </row>
    <row r="83" spans="5:29" ht="35.1" customHeight="1">
      <c r="E83" s="466" t="s">
        <v>531</v>
      </c>
      <c r="F83" s="467"/>
      <c r="G83" s="467"/>
      <c r="H83" s="467"/>
      <c r="I83" s="467"/>
      <c r="J83" s="467"/>
      <c r="K83" s="467"/>
      <c r="L83" s="467"/>
      <c r="M83" s="468"/>
      <c r="N83" s="464"/>
      <c r="O83" s="465"/>
      <c r="P83" s="288"/>
      <c r="Q83" s="210"/>
      <c r="R83" s="286"/>
      <c r="S83" s="286"/>
      <c r="T83" s="286"/>
      <c r="U83" s="210"/>
      <c r="V83" s="210"/>
      <c r="W83" s="210"/>
      <c r="X83" s="478"/>
      <c r="Y83" s="478"/>
      <c r="Z83" s="478"/>
      <c r="AA83" s="478"/>
      <c r="AB83" s="478"/>
      <c r="AC83" s="479"/>
    </row>
  </sheetData>
  <sheetProtection algorithmName="SHA-512" hashValue="MLvUTp+sK1YNYKKVPO98mpWpDLrOKz0h+AbZDic1ItqEzowJieRsJ6DYIODjcU4c+CZMAbooBUCeT+t4dc/PxA==" saltValue="YqTXC3zhA5JpyORL6Alnag=="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formula1>I30</formula1>
    </dataValidation>
    <dataValidation type="whole" operator="lessThanOrEqual" allowBlank="1" showInputMessage="1" showErrorMessage="1" sqref="Z75:Z76 Z30:Z40 Z43:Z49 Z52:Z54 Z57:Z69">
      <formula1>L30</formula1>
    </dataValidation>
    <dataValidation type="whole" operator="greaterThanOrEqual" allowBlank="1" showInputMessage="1" showErrorMessage="1" sqref="N52:O54 R52:S54 N75:O76 R75:S76 I75:K76 I52:K54 I57:K69 N57:O69 R57:S69 R43:S49 R30:S40 N30:O40 N43:O49 I43:K49 I30:K40">
      <formula1>0</formula1>
    </dataValidation>
    <dataValidation type="whole" operator="greaterThan" allowBlank="1" showInputMessage="1" showErrorMessage="1" sqref="H52:H54 H75:H76 H57:H69 H43:H49 H30:H40">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IndHUF!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69" location="Other_NonInsti!F12" display="Any Other (specify)"/>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F12"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59" location="'Key Managerial Personnel'!F12" display="Key Managerial Personnel"/>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62" location="'Investor Education'!F12" display="Investor Education and Protection Fund (IEPF)"/>
    <hyperlink ref="F65" location="'Non Resident Indians (NRIs)'!A1" display="Non Resident Indians (NRIs)"/>
    <hyperlink ref="F66" location="'Foreign Nationals'!F12" display="Foreign Nationals"/>
    <hyperlink ref="F67" location="'Foreign Companies'!F12" display="Foreign Companies"/>
    <hyperlink ref="F68" location="'Bodies Corporate'!F12" display="Bodies Corporate"/>
    <hyperlink ref="F76" location="EBT!F12" display="Employee Benefit Trust / Employee Welfare Trust under SEBI (Share Based Employee Benefits and Sweat Equity) Regulations, 2021"/>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XFC31"/>
  <sheetViews>
    <sheetView showGridLines="0" topLeftCell="H7" zoomScale="85" zoomScaleNormal="85" workbookViewId="0">
      <selection activeCell="AA7" sqref="AA7"/>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15</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27" t="s">
        <v>119</v>
      </c>
      <c r="F9" s="527" t="s">
        <v>118</v>
      </c>
      <c r="G9" s="527" t="s">
        <v>1</v>
      </c>
      <c r="H9" s="527" t="s">
        <v>3</v>
      </c>
      <c r="I9" s="527" t="s">
        <v>4</v>
      </c>
      <c r="J9" s="527" t="s">
        <v>5</v>
      </c>
      <c r="K9" s="527" t="s">
        <v>6</v>
      </c>
      <c r="L9" s="527" t="s">
        <v>7</v>
      </c>
      <c r="M9" s="446" t="s">
        <v>8</v>
      </c>
      <c r="N9" s="528"/>
      <c r="O9" s="528"/>
      <c r="P9" s="447"/>
      <c r="Q9" s="527" t="s">
        <v>9</v>
      </c>
      <c r="R9" s="527" t="s">
        <v>447</v>
      </c>
      <c r="S9" s="527" t="s">
        <v>116</v>
      </c>
      <c r="T9" s="527" t="s">
        <v>125</v>
      </c>
      <c r="U9" s="487" t="s">
        <v>12</v>
      </c>
      <c r="V9" s="488"/>
      <c r="W9" s="487" t="s">
        <v>13</v>
      </c>
      <c r="X9" s="488"/>
      <c r="Y9" s="527" t="s">
        <v>14</v>
      </c>
      <c r="Z9" s="449" t="s">
        <v>441</v>
      </c>
      <c r="AA9" s="527" t="s">
        <v>459</v>
      </c>
    </row>
    <row r="10" spans="5:45" ht="31.5" customHeight="1">
      <c r="E10" s="462"/>
      <c r="F10" s="493"/>
      <c r="G10" s="462"/>
      <c r="H10" s="462"/>
      <c r="I10" s="462"/>
      <c r="J10" s="462"/>
      <c r="K10" s="462"/>
      <c r="L10" s="462"/>
      <c r="M10" s="446" t="s">
        <v>117</v>
      </c>
      <c r="N10" s="457"/>
      <c r="O10" s="458"/>
      <c r="P10" s="527" t="s">
        <v>16</v>
      </c>
      <c r="Q10" s="462"/>
      <c r="R10" s="462"/>
      <c r="S10" s="462"/>
      <c r="T10" s="462"/>
      <c r="U10" s="444"/>
      <c r="V10" s="445"/>
      <c r="W10" s="444"/>
      <c r="X10" s="445"/>
      <c r="Y10" s="462"/>
      <c r="Z10" s="449"/>
      <c r="AA10" s="462"/>
    </row>
    <row r="11" spans="5:45" ht="78.75" customHeight="1">
      <c r="E11" s="448"/>
      <c r="F11" s="494"/>
      <c r="G11" s="448"/>
      <c r="H11" s="448"/>
      <c r="I11" s="448"/>
      <c r="J11" s="448"/>
      <c r="K11" s="448"/>
      <c r="L11" s="448"/>
      <c r="M11" s="27" t="s">
        <v>123</v>
      </c>
      <c r="N11" s="27" t="s">
        <v>18</v>
      </c>
      <c r="O11" s="27" t="s">
        <v>19</v>
      </c>
      <c r="P11" s="448"/>
      <c r="Q11" s="448"/>
      <c r="R11" s="448"/>
      <c r="S11" s="448"/>
      <c r="T11" s="448"/>
      <c r="U11" s="27" t="s">
        <v>20</v>
      </c>
      <c r="V11" s="27" t="s">
        <v>21</v>
      </c>
      <c r="W11" s="27" t="s">
        <v>20</v>
      </c>
      <c r="X11" s="27" t="s">
        <v>21</v>
      </c>
      <c r="Y11" s="448"/>
      <c r="Z11" s="449"/>
      <c r="AA11" s="448"/>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IF(COUNT(H30:$Y$15015)=0,"",SUM(AC1:AC65547))</f>
        <v>15</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81" t="s">
        <v>867</v>
      </c>
      <c r="G15" s="376" t="s">
        <v>882</v>
      </c>
      <c r="H15" s="38">
        <v>3109091</v>
      </c>
      <c r="I15" s="38"/>
      <c r="J15" s="38"/>
      <c r="K15" s="380">
        <f t="shared" ref="K15:K29" si="0">+IFERROR(IF(COUNT(H15:J15),ROUND(SUM(H15:J15),0),""),"")</f>
        <v>3109091</v>
      </c>
      <c r="L15" s="42">
        <f>+IFERROR(IF(COUNT(K15),ROUND(K15/'Shareholding Pattern'!$L$78*100,2),""),0)</f>
        <v>6.27</v>
      </c>
      <c r="M15" s="170">
        <f t="shared" ref="M15:M29" si="1">IF(H15="","",H15)</f>
        <v>3109091</v>
      </c>
      <c r="N15" s="170"/>
      <c r="O15" s="229">
        <f t="shared" ref="O15:O29" si="2">+IFERROR(IF(COUNT(M15:N15),ROUND(SUM(M15,N15),2),""),"")</f>
        <v>3109091</v>
      </c>
      <c r="P15" s="42">
        <f>+IFERROR(IF(COUNT(O15),ROUND(O15/('Shareholding Pattern'!$P$79)*100,2),""),0)</f>
        <v>6.27</v>
      </c>
      <c r="Q15" s="38"/>
      <c r="R15" s="38"/>
      <c r="S15" s="380" t="str">
        <f t="shared" ref="S15:S29" si="3">+IFERROR(IF(COUNT(Q15:R15),ROUND(SUM(Q15:R15),0),""),"")</f>
        <v/>
      </c>
      <c r="T15" s="42">
        <f>+IFERROR(IF(COUNT(K15,S15),ROUND(SUM(S15,K15)/SUM('Shareholding Pattern'!$L$78,'Shareholding Pattern'!$T$78)*100,2),""),0)</f>
        <v>6.27</v>
      </c>
      <c r="U15" s="38"/>
      <c r="V15" s="14" t="str">
        <f t="shared" ref="V15:V29" si="4">+IFERROR(IF(COUNT(U15),ROUND(SUM(U15)/SUM(K15)*100,2),""),0)</f>
        <v/>
      </c>
      <c r="W15" s="38"/>
      <c r="X15" s="14" t="str">
        <f t="shared" ref="X15:X29" si="5">+IFERROR(IF(COUNT(W15),ROUND(SUM(W15)/SUM(K15)*100,2),""),0)</f>
        <v/>
      </c>
      <c r="Y15" s="38">
        <v>3109091</v>
      </c>
      <c r="Z15" s="228"/>
      <c r="AA15" s="262" t="s">
        <v>461</v>
      </c>
      <c r="AB15" s="10"/>
      <c r="AC15" s="10">
        <f t="shared" ref="AC15:AC29" si="6">IF(SUM(H15:Y15)&gt;0,1,0)</f>
        <v>1</v>
      </c>
    </row>
    <row r="16" spans="5:45" ht="24.75" customHeight="1">
      <c r="E16" s="53">
        <v>2</v>
      </c>
      <c r="F16" s="381" t="s">
        <v>868</v>
      </c>
      <c r="G16" s="376" t="s">
        <v>883</v>
      </c>
      <c r="H16" s="38">
        <v>2645200</v>
      </c>
      <c r="I16" s="38"/>
      <c r="J16" s="38"/>
      <c r="K16" s="380">
        <f t="shared" si="0"/>
        <v>2645200</v>
      </c>
      <c r="L16" s="42">
        <f>+IFERROR(IF(COUNT(K16),ROUND(K16/'Shareholding Pattern'!$L$78*100,2),""),0)</f>
        <v>5.33</v>
      </c>
      <c r="M16" s="170">
        <f t="shared" si="1"/>
        <v>2645200</v>
      </c>
      <c r="N16" s="170"/>
      <c r="O16" s="229">
        <f t="shared" si="2"/>
        <v>2645200</v>
      </c>
      <c r="P16" s="42">
        <f>+IFERROR(IF(COUNT(O16),ROUND(O16/('Shareholding Pattern'!$P$79)*100,2),""),0)</f>
        <v>5.33</v>
      </c>
      <c r="Q16" s="38"/>
      <c r="R16" s="38"/>
      <c r="S16" s="380" t="str">
        <f t="shared" si="3"/>
        <v/>
      </c>
      <c r="T16" s="42">
        <f>+IFERROR(IF(COUNT(K16,S16),ROUND(SUM(S16,K16)/SUM('Shareholding Pattern'!$L$78,'Shareholding Pattern'!$T$78)*100,2),""),0)</f>
        <v>5.33</v>
      </c>
      <c r="U16" s="38"/>
      <c r="V16" s="14" t="str">
        <f t="shared" si="4"/>
        <v/>
      </c>
      <c r="W16" s="38"/>
      <c r="X16" s="14" t="str">
        <f t="shared" si="5"/>
        <v/>
      </c>
      <c r="Y16" s="38">
        <v>2645200</v>
      </c>
      <c r="Z16" s="228"/>
      <c r="AA16" s="262" t="s">
        <v>461</v>
      </c>
      <c r="AB16" s="10"/>
      <c r="AC16" s="10">
        <f t="shared" si="6"/>
        <v>1</v>
      </c>
    </row>
    <row r="17" spans="5:29" ht="24.75" customHeight="1">
      <c r="E17" s="53">
        <v>3</v>
      </c>
      <c r="F17" s="381" t="s">
        <v>869</v>
      </c>
      <c r="G17" s="376" t="s">
        <v>884</v>
      </c>
      <c r="H17" s="38">
        <v>2546705</v>
      </c>
      <c r="I17" s="38"/>
      <c r="J17" s="38"/>
      <c r="K17" s="380">
        <f t="shared" si="0"/>
        <v>2546705</v>
      </c>
      <c r="L17" s="42">
        <f>+IFERROR(IF(COUNT(K17),ROUND(K17/'Shareholding Pattern'!$L$78*100,2),""),0)</f>
        <v>5.13</v>
      </c>
      <c r="M17" s="170">
        <f t="shared" si="1"/>
        <v>2546705</v>
      </c>
      <c r="N17" s="170"/>
      <c r="O17" s="229">
        <f t="shared" si="2"/>
        <v>2546705</v>
      </c>
      <c r="P17" s="42">
        <f>+IFERROR(IF(COUNT(O17),ROUND(O17/('Shareholding Pattern'!$P$79)*100,2),""),0)</f>
        <v>5.13</v>
      </c>
      <c r="Q17" s="38"/>
      <c r="R17" s="38"/>
      <c r="S17" s="380" t="str">
        <f t="shared" si="3"/>
        <v/>
      </c>
      <c r="T17" s="42">
        <f>+IFERROR(IF(COUNT(K17,S17),ROUND(SUM(S17,K17)/SUM('Shareholding Pattern'!$L$78,'Shareholding Pattern'!$T$78)*100,2),""),0)</f>
        <v>5.13</v>
      </c>
      <c r="U17" s="38"/>
      <c r="V17" s="14" t="str">
        <f t="shared" si="4"/>
        <v/>
      </c>
      <c r="W17" s="38"/>
      <c r="X17" s="14" t="str">
        <f t="shared" si="5"/>
        <v/>
      </c>
      <c r="Y17" s="38">
        <v>2546705</v>
      </c>
      <c r="Z17" s="228"/>
      <c r="AA17" s="262" t="s">
        <v>462</v>
      </c>
      <c r="AB17" s="10"/>
      <c r="AC17" s="10">
        <f t="shared" si="6"/>
        <v>1</v>
      </c>
    </row>
    <row r="18" spans="5:29" ht="24.75" customHeight="1">
      <c r="E18" s="53">
        <v>4</v>
      </c>
      <c r="F18" s="381" t="s">
        <v>870</v>
      </c>
      <c r="G18" s="376" t="s">
        <v>885</v>
      </c>
      <c r="H18" s="38">
        <v>2455272</v>
      </c>
      <c r="I18" s="38"/>
      <c r="J18" s="38"/>
      <c r="K18" s="380">
        <f t="shared" si="0"/>
        <v>2455272</v>
      </c>
      <c r="L18" s="42">
        <f>+IFERROR(IF(COUNT(K18),ROUND(K18/'Shareholding Pattern'!$L$78*100,2),""),0)</f>
        <v>4.95</v>
      </c>
      <c r="M18" s="170">
        <f t="shared" si="1"/>
        <v>2455272</v>
      </c>
      <c r="N18" s="170"/>
      <c r="O18" s="229">
        <f t="shared" si="2"/>
        <v>2455272</v>
      </c>
      <c r="P18" s="42">
        <f>+IFERROR(IF(COUNT(O18),ROUND(O18/('Shareholding Pattern'!$P$79)*100,2),""),0)</f>
        <v>4.95</v>
      </c>
      <c r="Q18" s="38"/>
      <c r="R18" s="38"/>
      <c r="S18" s="380" t="str">
        <f t="shared" si="3"/>
        <v/>
      </c>
      <c r="T18" s="42">
        <f>+IFERROR(IF(COUNT(K18,S18),ROUND(SUM(S18,K18)/SUM('Shareholding Pattern'!$L$78,'Shareholding Pattern'!$T$78)*100,2),""),0)</f>
        <v>4.95</v>
      </c>
      <c r="U18" s="38"/>
      <c r="V18" s="14" t="str">
        <f t="shared" si="4"/>
        <v/>
      </c>
      <c r="W18" s="38"/>
      <c r="X18" s="14" t="str">
        <f t="shared" si="5"/>
        <v/>
      </c>
      <c r="Y18" s="38">
        <v>2455272</v>
      </c>
      <c r="Z18" s="228"/>
      <c r="AA18" s="262" t="s">
        <v>462</v>
      </c>
      <c r="AB18" s="10"/>
      <c r="AC18" s="10">
        <f t="shared" si="6"/>
        <v>1</v>
      </c>
    </row>
    <row r="19" spans="5:29" ht="24.75" customHeight="1">
      <c r="E19" s="53">
        <v>5</v>
      </c>
      <c r="F19" s="381" t="s">
        <v>871</v>
      </c>
      <c r="G19" s="376" t="s">
        <v>886</v>
      </c>
      <c r="H19" s="38">
        <v>1902006</v>
      </c>
      <c r="I19" s="38"/>
      <c r="J19" s="38"/>
      <c r="K19" s="380">
        <f t="shared" si="0"/>
        <v>1902006</v>
      </c>
      <c r="L19" s="42">
        <f>+IFERROR(IF(COUNT(K19),ROUND(K19/'Shareholding Pattern'!$L$78*100,2),""),0)</f>
        <v>3.83</v>
      </c>
      <c r="M19" s="170">
        <f t="shared" si="1"/>
        <v>1902006</v>
      </c>
      <c r="N19" s="170"/>
      <c r="O19" s="229">
        <f t="shared" si="2"/>
        <v>1902006</v>
      </c>
      <c r="P19" s="42">
        <f>+IFERROR(IF(COUNT(O19),ROUND(O19/('Shareholding Pattern'!$P$79)*100,2),""),0)</f>
        <v>3.83</v>
      </c>
      <c r="Q19" s="38"/>
      <c r="R19" s="38"/>
      <c r="S19" s="380" t="str">
        <f t="shared" si="3"/>
        <v/>
      </c>
      <c r="T19" s="42">
        <f>+IFERROR(IF(COUNT(K19,S19),ROUND(SUM(S19,K19)/SUM('Shareholding Pattern'!$L$78,'Shareholding Pattern'!$T$78)*100,2),""),0)</f>
        <v>3.83</v>
      </c>
      <c r="U19" s="38"/>
      <c r="V19" s="14" t="str">
        <f t="shared" si="4"/>
        <v/>
      </c>
      <c r="W19" s="38"/>
      <c r="X19" s="14" t="str">
        <f t="shared" si="5"/>
        <v/>
      </c>
      <c r="Y19" s="38">
        <v>1902006</v>
      </c>
      <c r="Z19" s="228"/>
      <c r="AA19" s="262" t="s">
        <v>462</v>
      </c>
      <c r="AB19" s="10"/>
      <c r="AC19" s="10">
        <f t="shared" si="6"/>
        <v>1</v>
      </c>
    </row>
    <row r="20" spans="5:29" ht="24.75" customHeight="1">
      <c r="E20" s="53">
        <v>6</v>
      </c>
      <c r="F20" s="381" t="s">
        <v>872</v>
      </c>
      <c r="G20" s="376" t="s">
        <v>887</v>
      </c>
      <c r="H20" s="38">
        <v>1420650</v>
      </c>
      <c r="I20" s="38"/>
      <c r="J20" s="38"/>
      <c r="K20" s="380">
        <f t="shared" si="0"/>
        <v>1420650</v>
      </c>
      <c r="L20" s="42">
        <f>+IFERROR(IF(COUNT(K20),ROUND(K20/'Shareholding Pattern'!$L$78*100,2),""),0)</f>
        <v>2.86</v>
      </c>
      <c r="M20" s="170">
        <f t="shared" si="1"/>
        <v>1420650</v>
      </c>
      <c r="N20" s="170"/>
      <c r="O20" s="229">
        <f t="shared" si="2"/>
        <v>1420650</v>
      </c>
      <c r="P20" s="42">
        <f>+IFERROR(IF(COUNT(O20),ROUND(O20/('Shareholding Pattern'!$P$79)*100,2),""),0)</f>
        <v>2.86</v>
      </c>
      <c r="Q20" s="38"/>
      <c r="R20" s="38"/>
      <c r="S20" s="380" t="str">
        <f t="shared" si="3"/>
        <v/>
      </c>
      <c r="T20" s="42">
        <f>+IFERROR(IF(COUNT(K20,S20),ROUND(SUM(S20,K20)/SUM('Shareholding Pattern'!$L$78,'Shareholding Pattern'!$T$78)*100,2),""),0)</f>
        <v>2.86</v>
      </c>
      <c r="U20" s="38"/>
      <c r="V20" s="14" t="str">
        <f t="shared" si="4"/>
        <v/>
      </c>
      <c r="W20" s="38"/>
      <c r="X20" s="14" t="str">
        <f t="shared" si="5"/>
        <v/>
      </c>
      <c r="Y20" s="38">
        <v>1420650</v>
      </c>
      <c r="Z20" s="228"/>
      <c r="AA20" s="262" t="s">
        <v>462</v>
      </c>
      <c r="AB20" s="10"/>
      <c r="AC20" s="10">
        <f t="shared" si="6"/>
        <v>1</v>
      </c>
    </row>
    <row r="21" spans="5:29" ht="24.75" customHeight="1">
      <c r="E21" s="53">
        <v>7</v>
      </c>
      <c r="F21" s="381" t="s">
        <v>873</v>
      </c>
      <c r="G21" s="376" t="s">
        <v>888</v>
      </c>
      <c r="H21" s="38">
        <v>1372000</v>
      </c>
      <c r="I21" s="38"/>
      <c r="J21" s="38"/>
      <c r="K21" s="380">
        <f t="shared" si="0"/>
        <v>1372000</v>
      </c>
      <c r="L21" s="42">
        <f>+IFERROR(IF(COUNT(K21),ROUND(K21/'Shareholding Pattern'!$L$78*100,2),""),0)</f>
        <v>2.77</v>
      </c>
      <c r="M21" s="170">
        <f t="shared" si="1"/>
        <v>1372000</v>
      </c>
      <c r="N21" s="170"/>
      <c r="O21" s="229">
        <f t="shared" si="2"/>
        <v>1372000</v>
      </c>
      <c r="P21" s="42">
        <f>+IFERROR(IF(COUNT(O21),ROUND(O21/('Shareholding Pattern'!$P$79)*100,2),""),0)</f>
        <v>2.77</v>
      </c>
      <c r="Q21" s="38"/>
      <c r="R21" s="38"/>
      <c r="S21" s="380" t="str">
        <f t="shared" si="3"/>
        <v/>
      </c>
      <c r="T21" s="42">
        <f>+IFERROR(IF(COUNT(K21,S21),ROUND(SUM(S21,K21)/SUM('Shareholding Pattern'!$L$78,'Shareholding Pattern'!$T$78)*100,2),""),0)</f>
        <v>2.77</v>
      </c>
      <c r="U21" s="38"/>
      <c r="V21" s="14" t="str">
        <f t="shared" si="4"/>
        <v/>
      </c>
      <c r="W21" s="38"/>
      <c r="X21" s="14" t="str">
        <f t="shared" si="5"/>
        <v/>
      </c>
      <c r="Y21" s="38">
        <v>1372000</v>
      </c>
      <c r="Z21" s="228"/>
      <c r="AA21" s="262" t="s">
        <v>462</v>
      </c>
      <c r="AB21" s="10"/>
      <c r="AC21" s="10">
        <f t="shared" si="6"/>
        <v>1</v>
      </c>
    </row>
    <row r="22" spans="5:29" ht="24.75" customHeight="1">
      <c r="E22" s="53">
        <v>8</v>
      </c>
      <c r="F22" s="381" t="s">
        <v>874</v>
      </c>
      <c r="G22" s="376" t="s">
        <v>889</v>
      </c>
      <c r="H22" s="38">
        <v>1212246</v>
      </c>
      <c r="I22" s="38"/>
      <c r="J22" s="38"/>
      <c r="K22" s="380">
        <f t="shared" si="0"/>
        <v>1212246</v>
      </c>
      <c r="L22" s="42">
        <f>+IFERROR(IF(COUNT(K22),ROUND(K22/'Shareholding Pattern'!$L$78*100,2),""),0)</f>
        <v>2.44</v>
      </c>
      <c r="M22" s="170">
        <f t="shared" si="1"/>
        <v>1212246</v>
      </c>
      <c r="N22" s="170"/>
      <c r="O22" s="229">
        <f t="shared" si="2"/>
        <v>1212246</v>
      </c>
      <c r="P22" s="42">
        <f>+IFERROR(IF(COUNT(O22),ROUND(O22/('Shareholding Pattern'!$P$79)*100,2),""),0)</f>
        <v>2.44</v>
      </c>
      <c r="Q22" s="38"/>
      <c r="R22" s="38"/>
      <c r="S22" s="380" t="str">
        <f t="shared" si="3"/>
        <v/>
      </c>
      <c r="T22" s="42">
        <f>+IFERROR(IF(COUNT(K22,S22),ROUND(SUM(S22,K22)/SUM('Shareholding Pattern'!$L$78,'Shareholding Pattern'!$T$78)*100,2),""),0)</f>
        <v>2.44</v>
      </c>
      <c r="U22" s="38"/>
      <c r="V22" s="14" t="str">
        <f t="shared" si="4"/>
        <v/>
      </c>
      <c r="W22" s="38"/>
      <c r="X22" s="14" t="str">
        <f t="shared" si="5"/>
        <v/>
      </c>
      <c r="Y22" s="38">
        <v>1212246</v>
      </c>
      <c r="Z22" s="228"/>
      <c r="AA22" s="262" t="s">
        <v>462</v>
      </c>
      <c r="AB22" s="10"/>
      <c r="AC22" s="10">
        <f t="shared" si="6"/>
        <v>1</v>
      </c>
    </row>
    <row r="23" spans="5:29" ht="24.75" customHeight="1">
      <c r="E23" s="53">
        <v>9</v>
      </c>
      <c r="F23" s="381" t="s">
        <v>875</v>
      </c>
      <c r="G23" s="376" t="s">
        <v>890</v>
      </c>
      <c r="H23" s="38">
        <v>1125000</v>
      </c>
      <c r="I23" s="38"/>
      <c r="J23" s="38"/>
      <c r="K23" s="380">
        <f t="shared" si="0"/>
        <v>1125000</v>
      </c>
      <c r="L23" s="42">
        <f>+IFERROR(IF(COUNT(K23),ROUND(K23/'Shareholding Pattern'!$L$78*100,2),""),0)</f>
        <v>2.27</v>
      </c>
      <c r="M23" s="170">
        <f t="shared" si="1"/>
        <v>1125000</v>
      </c>
      <c r="N23" s="170"/>
      <c r="O23" s="229">
        <f t="shared" si="2"/>
        <v>1125000</v>
      </c>
      <c r="P23" s="42">
        <f>+IFERROR(IF(COUNT(O23),ROUND(O23/('Shareholding Pattern'!$P$79)*100,2),""),0)</f>
        <v>2.27</v>
      </c>
      <c r="Q23" s="38"/>
      <c r="R23" s="38"/>
      <c r="S23" s="380" t="str">
        <f t="shared" si="3"/>
        <v/>
      </c>
      <c r="T23" s="42">
        <f>+IFERROR(IF(COUNT(K23,S23),ROUND(SUM(S23,K23)/SUM('Shareholding Pattern'!$L$78,'Shareholding Pattern'!$T$78)*100,2),""),0)</f>
        <v>2.27</v>
      </c>
      <c r="U23" s="38"/>
      <c r="V23" s="14" t="str">
        <f t="shared" si="4"/>
        <v/>
      </c>
      <c r="W23" s="38"/>
      <c r="X23" s="14" t="str">
        <f t="shared" si="5"/>
        <v/>
      </c>
      <c r="Y23" s="38">
        <v>1125000</v>
      </c>
      <c r="Z23" s="228"/>
      <c r="AA23" s="262" t="s">
        <v>462</v>
      </c>
      <c r="AB23" s="10"/>
      <c r="AC23" s="10">
        <f t="shared" si="6"/>
        <v>1</v>
      </c>
    </row>
    <row r="24" spans="5:29" ht="24.75" customHeight="1">
      <c r="E24" s="53">
        <v>10</v>
      </c>
      <c r="F24" s="381" t="s">
        <v>876</v>
      </c>
      <c r="G24" s="376" t="s">
        <v>891</v>
      </c>
      <c r="H24" s="38">
        <v>1035000</v>
      </c>
      <c r="I24" s="38"/>
      <c r="J24" s="38"/>
      <c r="K24" s="380">
        <f t="shared" si="0"/>
        <v>1035000</v>
      </c>
      <c r="L24" s="42">
        <f>+IFERROR(IF(COUNT(K24),ROUND(K24/'Shareholding Pattern'!$L$78*100,2),""),0)</f>
        <v>2.09</v>
      </c>
      <c r="M24" s="170">
        <f t="shared" si="1"/>
        <v>1035000</v>
      </c>
      <c r="N24" s="170"/>
      <c r="O24" s="229">
        <f t="shared" si="2"/>
        <v>1035000</v>
      </c>
      <c r="P24" s="42">
        <f>+IFERROR(IF(COUNT(O24),ROUND(O24/('Shareholding Pattern'!$P$79)*100,2),""),0)</f>
        <v>2.09</v>
      </c>
      <c r="Q24" s="38"/>
      <c r="R24" s="38"/>
      <c r="S24" s="380" t="str">
        <f t="shared" si="3"/>
        <v/>
      </c>
      <c r="T24" s="42">
        <f>+IFERROR(IF(COUNT(K24,S24),ROUND(SUM(S24,K24)/SUM('Shareholding Pattern'!$L$78,'Shareholding Pattern'!$T$78)*100,2),""),0)</f>
        <v>2.09</v>
      </c>
      <c r="U24" s="38"/>
      <c r="V24" s="14" t="str">
        <f t="shared" si="4"/>
        <v/>
      </c>
      <c r="W24" s="38"/>
      <c r="X24" s="14" t="str">
        <f t="shared" si="5"/>
        <v/>
      </c>
      <c r="Y24" s="38">
        <v>1035000</v>
      </c>
      <c r="Z24" s="228"/>
      <c r="AA24" s="262" t="s">
        <v>462</v>
      </c>
      <c r="AB24" s="10"/>
      <c r="AC24" s="10">
        <f t="shared" si="6"/>
        <v>1</v>
      </c>
    </row>
    <row r="25" spans="5:29" ht="24.75" customHeight="1">
      <c r="E25" s="53">
        <v>11</v>
      </c>
      <c r="F25" s="381" t="s">
        <v>877</v>
      </c>
      <c r="G25" s="376" t="s">
        <v>892</v>
      </c>
      <c r="H25" s="38">
        <v>907562</v>
      </c>
      <c r="I25" s="38"/>
      <c r="J25" s="38"/>
      <c r="K25" s="380">
        <f t="shared" si="0"/>
        <v>907562</v>
      </c>
      <c r="L25" s="42">
        <f>+IFERROR(IF(COUNT(K25),ROUND(K25/'Shareholding Pattern'!$L$78*100,2),""),0)</f>
        <v>1.83</v>
      </c>
      <c r="M25" s="170">
        <f t="shared" si="1"/>
        <v>907562</v>
      </c>
      <c r="N25" s="170"/>
      <c r="O25" s="229">
        <f t="shared" si="2"/>
        <v>907562</v>
      </c>
      <c r="P25" s="42">
        <f>+IFERROR(IF(COUNT(O25),ROUND(O25/('Shareholding Pattern'!$P$79)*100,2),""),0)</f>
        <v>1.83</v>
      </c>
      <c r="Q25" s="38"/>
      <c r="R25" s="38"/>
      <c r="S25" s="380" t="str">
        <f t="shared" si="3"/>
        <v/>
      </c>
      <c r="T25" s="42">
        <f>+IFERROR(IF(COUNT(K25,S25),ROUND(SUM(S25,K25)/SUM('Shareholding Pattern'!$L$78,'Shareholding Pattern'!$T$78)*100,2),""),0)</f>
        <v>1.83</v>
      </c>
      <c r="U25" s="38"/>
      <c r="V25" s="14" t="str">
        <f t="shared" si="4"/>
        <v/>
      </c>
      <c r="W25" s="38"/>
      <c r="X25" s="14" t="str">
        <f t="shared" si="5"/>
        <v/>
      </c>
      <c r="Y25" s="38">
        <v>907562</v>
      </c>
      <c r="Z25" s="228"/>
      <c r="AA25" s="262" t="s">
        <v>462</v>
      </c>
      <c r="AB25" s="10"/>
      <c r="AC25" s="10">
        <f t="shared" si="6"/>
        <v>1</v>
      </c>
    </row>
    <row r="26" spans="5:29" ht="24.75" customHeight="1">
      <c r="E26" s="53">
        <v>12</v>
      </c>
      <c r="F26" s="381" t="s">
        <v>878</v>
      </c>
      <c r="G26" s="376" t="s">
        <v>893</v>
      </c>
      <c r="H26" s="38">
        <v>441100</v>
      </c>
      <c r="I26" s="38"/>
      <c r="J26" s="38"/>
      <c r="K26" s="380">
        <f t="shared" si="0"/>
        <v>441100</v>
      </c>
      <c r="L26" s="42">
        <f>+IFERROR(IF(COUNT(K26),ROUND(K26/'Shareholding Pattern'!$L$78*100,2),""),0)</f>
        <v>0.89</v>
      </c>
      <c r="M26" s="170">
        <f t="shared" si="1"/>
        <v>441100</v>
      </c>
      <c r="N26" s="170"/>
      <c r="O26" s="229">
        <f t="shared" si="2"/>
        <v>441100</v>
      </c>
      <c r="P26" s="42">
        <f>+IFERROR(IF(COUNT(O26),ROUND(O26/('Shareholding Pattern'!$P$79)*100,2),""),0)</f>
        <v>0.89</v>
      </c>
      <c r="Q26" s="38"/>
      <c r="R26" s="38"/>
      <c r="S26" s="380" t="str">
        <f t="shared" si="3"/>
        <v/>
      </c>
      <c r="T26" s="42">
        <f>+IFERROR(IF(COUNT(K26,S26),ROUND(SUM(S26,K26)/SUM('Shareholding Pattern'!$L$78,'Shareholding Pattern'!$T$78)*100,2),""),0)</f>
        <v>0.89</v>
      </c>
      <c r="U26" s="38"/>
      <c r="V26" s="14" t="str">
        <f t="shared" si="4"/>
        <v/>
      </c>
      <c r="W26" s="38"/>
      <c r="X26" s="14" t="str">
        <f t="shared" si="5"/>
        <v/>
      </c>
      <c r="Y26" s="38">
        <v>441100</v>
      </c>
      <c r="Z26" s="228"/>
      <c r="AA26" s="262" t="s">
        <v>462</v>
      </c>
      <c r="AB26" s="10"/>
      <c r="AC26" s="10">
        <f t="shared" si="6"/>
        <v>1</v>
      </c>
    </row>
    <row r="27" spans="5:29" ht="24.75" customHeight="1">
      <c r="E27" s="53">
        <v>13</v>
      </c>
      <c r="F27" s="381" t="s">
        <v>879</v>
      </c>
      <c r="G27" s="376" t="s">
        <v>894</v>
      </c>
      <c r="H27" s="38">
        <v>230000</v>
      </c>
      <c r="I27" s="38"/>
      <c r="J27" s="38"/>
      <c r="K27" s="380">
        <f t="shared" si="0"/>
        <v>230000</v>
      </c>
      <c r="L27" s="42">
        <f>+IFERROR(IF(COUNT(K27),ROUND(K27/'Shareholding Pattern'!$L$78*100,2),""),0)</f>
        <v>0.46</v>
      </c>
      <c r="M27" s="170">
        <f t="shared" si="1"/>
        <v>230000</v>
      </c>
      <c r="N27" s="170"/>
      <c r="O27" s="229">
        <f t="shared" si="2"/>
        <v>230000</v>
      </c>
      <c r="P27" s="42">
        <f>+IFERROR(IF(COUNT(O27),ROUND(O27/('Shareholding Pattern'!$P$79)*100,2),""),0)</f>
        <v>0.46</v>
      </c>
      <c r="Q27" s="38"/>
      <c r="R27" s="38"/>
      <c r="S27" s="380" t="str">
        <f t="shared" si="3"/>
        <v/>
      </c>
      <c r="T27" s="42">
        <f>+IFERROR(IF(COUNT(K27,S27),ROUND(SUM(S27,K27)/SUM('Shareholding Pattern'!$L$78,'Shareholding Pattern'!$T$78)*100,2),""),0)</f>
        <v>0.46</v>
      </c>
      <c r="U27" s="38"/>
      <c r="V27" s="14" t="str">
        <f t="shared" si="4"/>
        <v/>
      </c>
      <c r="W27" s="38"/>
      <c r="X27" s="14" t="str">
        <f t="shared" si="5"/>
        <v/>
      </c>
      <c r="Y27" s="38">
        <v>230000</v>
      </c>
      <c r="Z27" s="228"/>
      <c r="AA27" s="262" t="s">
        <v>462</v>
      </c>
      <c r="AB27" s="10"/>
      <c r="AC27" s="10">
        <f t="shared" si="6"/>
        <v>1</v>
      </c>
    </row>
    <row r="28" spans="5:29" ht="24.75" customHeight="1">
      <c r="E28" s="53">
        <v>14</v>
      </c>
      <c r="F28" s="381" t="s">
        <v>880</v>
      </c>
      <c r="G28" s="376" t="s">
        <v>895</v>
      </c>
      <c r="H28" s="38">
        <v>90000</v>
      </c>
      <c r="I28" s="38"/>
      <c r="J28" s="38"/>
      <c r="K28" s="380">
        <f t="shared" si="0"/>
        <v>90000</v>
      </c>
      <c r="L28" s="42">
        <f>+IFERROR(IF(COUNT(K28),ROUND(K28/'Shareholding Pattern'!$L$78*100,2),""),0)</f>
        <v>0.18</v>
      </c>
      <c r="M28" s="170">
        <f t="shared" si="1"/>
        <v>90000</v>
      </c>
      <c r="N28" s="170"/>
      <c r="O28" s="229">
        <f t="shared" si="2"/>
        <v>90000</v>
      </c>
      <c r="P28" s="42">
        <f>+IFERROR(IF(COUNT(O28),ROUND(O28/('Shareholding Pattern'!$P$79)*100,2),""),0)</f>
        <v>0.18</v>
      </c>
      <c r="Q28" s="38"/>
      <c r="R28" s="38"/>
      <c r="S28" s="380" t="str">
        <f t="shared" si="3"/>
        <v/>
      </c>
      <c r="T28" s="42">
        <f>+IFERROR(IF(COUNT(K28,S28),ROUND(SUM(S28,K28)/SUM('Shareholding Pattern'!$L$78,'Shareholding Pattern'!$T$78)*100,2),""),0)</f>
        <v>0.18</v>
      </c>
      <c r="U28" s="38"/>
      <c r="V28" s="14" t="str">
        <f t="shared" si="4"/>
        <v/>
      </c>
      <c r="W28" s="38"/>
      <c r="X28" s="14" t="str">
        <f t="shared" si="5"/>
        <v/>
      </c>
      <c r="Y28" s="38">
        <v>90000</v>
      </c>
      <c r="Z28" s="228"/>
      <c r="AA28" s="262" t="s">
        <v>462</v>
      </c>
      <c r="AB28" s="10"/>
      <c r="AC28" s="10">
        <f t="shared" si="6"/>
        <v>1</v>
      </c>
    </row>
    <row r="29" spans="5:29" ht="24.75" customHeight="1">
      <c r="E29" s="53">
        <v>15</v>
      </c>
      <c r="F29" s="381" t="s">
        <v>881</v>
      </c>
      <c r="G29" s="376" t="s">
        <v>896</v>
      </c>
      <c r="H29" s="38">
        <v>90000</v>
      </c>
      <c r="I29" s="38"/>
      <c r="J29" s="38"/>
      <c r="K29" s="380">
        <f t="shared" si="0"/>
        <v>90000</v>
      </c>
      <c r="L29" s="42">
        <f>+IFERROR(IF(COUNT(K29),ROUND(K29/'Shareholding Pattern'!$L$78*100,2),""),0)</f>
        <v>0.18</v>
      </c>
      <c r="M29" s="170">
        <f t="shared" si="1"/>
        <v>90000</v>
      </c>
      <c r="N29" s="170"/>
      <c r="O29" s="229">
        <f t="shared" si="2"/>
        <v>90000</v>
      </c>
      <c r="P29" s="42">
        <f>+IFERROR(IF(COUNT(O29),ROUND(O29/('Shareholding Pattern'!$P$79)*100,2),""),0)</f>
        <v>0.18</v>
      </c>
      <c r="Q29" s="38"/>
      <c r="R29" s="38"/>
      <c r="S29" s="380" t="str">
        <f t="shared" si="3"/>
        <v/>
      </c>
      <c r="T29" s="42">
        <f>+IFERROR(IF(COUNT(K29,S29),ROUND(SUM(S29,K29)/SUM('Shareholding Pattern'!$L$78,'Shareholding Pattern'!$T$78)*100,2),""),0)</f>
        <v>0.18</v>
      </c>
      <c r="U29" s="38"/>
      <c r="V29" s="14" t="str">
        <f t="shared" si="4"/>
        <v/>
      </c>
      <c r="W29" s="38"/>
      <c r="X29" s="14" t="str">
        <f t="shared" si="5"/>
        <v/>
      </c>
      <c r="Y29" s="38">
        <v>90000</v>
      </c>
      <c r="Z29" s="228"/>
      <c r="AA29" s="262" t="s">
        <v>462</v>
      </c>
      <c r="AB29" s="10"/>
      <c r="AC29" s="10">
        <f t="shared" si="6"/>
        <v>1</v>
      </c>
    </row>
    <row r="30" spans="5:29" ht="16.5" hidden="1" customHeight="1">
      <c r="E30" s="2"/>
      <c r="F30" s="167"/>
      <c r="G30" s="167"/>
      <c r="H30" s="167"/>
      <c r="I30" s="167"/>
      <c r="J30" s="167"/>
      <c r="K30" s="167"/>
      <c r="L30" s="167"/>
      <c r="M30" s="167"/>
      <c r="N30" s="167"/>
      <c r="O30" s="167"/>
      <c r="P30" s="167"/>
      <c r="Q30" s="167"/>
      <c r="R30" s="167"/>
      <c r="S30" s="167"/>
      <c r="T30" s="167"/>
      <c r="U30" s="167"/>
      <c r="V30" s="167"/>
      <c r="W30" s="167"/>
      <c r="X30" s="167"/>
      <c r="Y30" s="168"/>
    </row>
    <row r="31" spans="5:29" ht="20.100000000000001" customHeight="1">
      <c r="E31" s="105"/>
      <c r="F31" s="51" t="s">
        <v>392</v>
      </c>
      <c r="G31" s="51" t="s">
        <v>19</v>
      </c>
      <c r="H31" s="44">
        <f>+IFERROR(IF(COUNT(H14:H30),ROUND(SUM(H14:H30),0),""),"")</f>
        <v>20581832</v>
      </c>
      <c r="I31" s="44" t="str">
        <f>+IFERROR(IF(COUNT(I14:I30),ROUND(SUM(I14:I30),0),""),"")</f>
        <v/>
      </c>
      <c r="J31" s="44" t="str">
        <f>+IFERROR(IF(COUNT(J14:J30),ROUND(SUM(J14:J30),0),""),"")</f>
        <v/>
      </c>
      <c r="K31" s="44">
        <f>+IFERROR(IF(COUNT(K14:K30),ROUND(SUM(K14:K30),0),""),"")</f>
        <v>20581832</v>
      </c>
      <c r="L31" s="14">
        <f>+IFERROR(IF(COUNT(K31),ROUND(K31/'Shareholding Pattern'!$L$78*100,2),""),0)</f>
        <v>41.48</v>
      </c>
      <c r="M31" s="29">
        <f>+IFERROR(IF(COUNT(M14:M30),ROUND(SUM(M14:M30),0),""),"")</f>
        <v>20581832</v>
      </c>
      <c r="N31" s="29" t="str">
        <f>+IFERROR(IF(COUNT(N14:N30),ROUND(SUM(N14:N30),0),""),"")</f>
        <v/>
      </c>
      <c r="O31" s="29">
        <f>+IFERROR(IF(COUNT(O14:O30),ROUND(SUM(O14:O30),0),""),"")</f>
        <v>20581832</v>
      </c>
      <c r="P31" s="14">
        <f>+IFERROR(IF(COUNT(O31),ROUND(O31/('Shareholding Pattern'!$P$79)*100,2),""),0)</f>
        <v>41.48</v>
      </c>
      <c r="Q31" s="44" t="str">
        <f>+IFERROR(IF(COUNT(Q14:Q30),ROUND(SUM(Q14:Q30),0),""),"")</f>
        <v/>
      </c>
      <c r="R31" s="44" t="str">
        <f>+IFERROR(IF(COUNT(R14:R30),ROUND(SUM(R14:R30),0),""),"")</f>
        <v/>
      </c>
      <c r="S31" s="44" t="str">
        <f>+IFERROR(IF(COUNT(S14:S30),ROUND(SUM(S14:S30),0),""),"")</f>
        <v/>
      </c>
      <c r="T31" s="14">
        <f>+IFERROR(IF(COUNT(K31,S31),ROUND(SUM(S31,K31)/SUM('Shareholding Pattern'!$L$78,'Shareholding Pattern'!$T$78)*100,2),""),0)</f>
        <v>41.48</v>
      </c>
      <c r="U31" s="44" t="str">
        <f>+IFERROR(IF(COUNT(U14:U30),ROUND(SUM(U14:U30),0),""),"")</f>
        <v/>
      </c>
      <c r="V31" s="14" t="str">
        <f>+IFERROR(IF(COUNT(U31),ROUND(SUM(U31)/SUM(K31)*100,2),""),0)</f>
        <v/>
      </c>
      <c r="W31" s="44" t="str">
        <f>+IFERROR(IF(COUNT(W14:W30),ROUND(SUM(W14:W30),0),""),"")</f>
        <v/>
      </c>
      <c r="X31" s="14" t="str">
        <f>+IFERROR(IF(COUNT(W31),ROUND(SUM(W31)/SUM(K31)*100,2),""),0)</f>
        <v/>
      </c>
      <c r="Y31" s="44">
        <f>+IFERROR(IF(COUNT(Y14:Y30),ROUND(SUM(Y14:Y30),0),""),"")</f>
        <v>20581832</v>
      </c>
    </row>
  </sheetData>
  <sheetProtection algorithmName="SHA-512" hashValue="yHzY4Y5IMD4Z7hOUWV7hXC0Ny/1T2x+pokFNsBQM3PB4d0SJjGIZdPY+kFt7q1Ed1nOuycqiwkMHUEFDhHskzA==" saltValue="0dxAYp5l7HfaW7hKUJq7Iw=="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9">
      <formula1>K13</formula1>
    </dataValidation>
    <dataValidation type="whole" operator="lessThanOrEqual" allowBlank="1" showInputMessage="1" showErrorMessage="1" sqref="U13 U15:U29">
      <formula1>H13</formula1>
    </dataValidation>
    <dataValidation type="whole" operator="lessThanOrEqual" allowBlank="1" showInputMessage="1" showErrorMessage="1" sqref="W13 W15:W29">
      <formula1>H13</formula1>
    </dataValidation>
    <dataValidation type="whole" operator="greaterThanOrEqual" allowBlank="1" showInputMessage="1" showErrorMessage="1" sqref="Q13:R13 H13:J13 M13:N13 M15:N29 Q15:R29 H15:J29">
      <formula1>0</formula1>
    </dataValidation>
    <dataValidation type="textLength" operator="equal" allowBlank="1" showInputMessage="1" showErrorMessage="1" prompt="[A-Z][A-Z][A-Z][A-Z][A-Z][0-9][0-9][0-9][0-9][A-Z]_x000a__x000a_In absence of PAN write : ZZZZZ9999Z" sqref="G13 G15:G29">
      <formula1>10</formula1>
    </dataValidation>
    <dataValidation type="list" allowBlank="1" showInputMessage="1" showErrorMessage="1" sqref="AA13 AA15:AA29">
      <formula1>$AR$2:$AS$2</formula1>
    </dataValidation>
  </dataValidations>
  <hyperlinks>
    <hyperlink ref="G31" location="'Shareholding Pattern'!F14" display="Total"/>
    <hyperlink ref="F31" location="'Shareholding Pattern'!F14" display="Total"/>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mc:AlternateContent xmlns:mc="http://schemas.openxmlformats.org/markup-compatibility/2006">
          <mc:Choice Requires="x14">
            <control shapeId="6155" r:id="rId14" name="Button 11">
              <controlPr defaultSize="0" print="0" autoFill="0" autoPict="0" macro="[0]!opentextblock">
                <anchor moveWithCells="1" sizeWithCells="1">
                  <from>
                    <xdr:col>25</xdr:col>
                    <xdr:colOff>66675</xdr:colOff>
                    <xdr:row>24</xdr:row>
                    <xdr:rowOff>66675</xdr:rowOff>
                  </from>
                  <to>
                    <xdr:col>25</xdr:col>
                    <xdr:colOff>1314450</xdr:colOff>
                    <xdr:row>24</xdr:row>
                    <xdr:rowOff>266700</xdr:rowOff>
                  </to>
                </anchor>
              </controlPr>
            </control>
          </mc:Choice>
        </mc:AlternateContent>
        <mc:AlternateContent xmlns:mc="http://schemas.openxmlformats.org/markup-compatibility/2006">
          <mc:Choice Requires="x14">
            <control shapeId="6156" r:id="rId15" name="Button 12">
              <controlPr defaultSize="0" print="0" autoFill="0" autoPict="0" macro="[0]!opentextblock">
                <anchor moveWithCells="1" sizeWithCells="1">
                  <from>
                    <xdr:col>25</xdr:col>
                    <xdr:colOff>66675</xdr:colOff>
                    <xdr:row>25</xdr:row>
                    <xdr:rowOff>66675</xdr:rowOff>
                  </from>
                  <to>
                    <xdr:col>25</xdr:col>
                    <xdr:colOff>1314450</xdr:colOff>
                    <xdr:row>25</xdr:row>
                    <xdr:rowOff>266700</xdr:rowOff>
                  </to>
                </anchor>
              </controlPr>
            </control>
          </mc:Choice>
        </mc:AlternateContent>
        <mc:AlternateContent xmlns:mc="http://schemas.openxmlformats.org/markup-compatibility/2006">
          <mc:Choice Requires="x14">
            <control shapeId="6157" r:id="rId16" name="Button 13">
              <controlPr defaultSize="0" print="0" autoFill="0" autoPict="0" macro="[0]!opentextblock">
                <anchor moveWithCells="1" sizeWithCells="1">
                  <from>
                    <xdr:col>25</xdr:col>
                    <xdr:colOff>66675</xdr:colOff>
                    <xdr:row>26</xdr:row>
                    <xdr:rowOff>66675</xdr:rowOff>
                  </from>
                  <to>
                    <xdr:col>25</xdr:col>
                    <xdr:colOff>1314450</xdr:colOff>
                    <xdr:row>26</xdr:row>
                    <xdr:rowOff>266700</xdr:rowOff>
                  </to>
                </anchor>
              </controlPr>
            </control>
          </mc:Choice>
        </mc:AlternateContent>
        <mc:AlternateContent xmlns:mc="http://schemas.openxmlformats.org/markup-compatibility/2006">
          <mc:Choice Requires="x14">
            <control shapeId="6158" r:id="rId17" name="Button 14">
              <controlPr defaultSize="0" print="0" autoFill="0" autoPict="0" macro="[0]!opentextblock">
                <anchor moveWithCells="1" sizeWithCells="1">
                  <from>
                    <xdr:col>25</xdr:col>
                    <xdr:colOff>66675</xdr:colOff>
                    <xdr:row>27</xdr:row>
                    <xdr:rowOff>66675</xdr:rowOff>
                  </from>
                  <to>
                    <xdr:col>25</xdr:col>
                    <xdr:colOff>1314450</xdr:colOff>
                    <xdr:row>27</xdr:row>
                    <xdr:rowOff>266700</xdr:rowOff>
                  </to>
                </anchor>
              </controlPr>
            </control>
          </mc:Choice>
        </mc:AlternateContent>
        <mc:AlternateContent xmlns:mc="http://schemas.openxmlformats.org/markup-compatibility/2006">
          <mc:Choice Requires="x14">
            <control shapeId="6159" r:id="rId18" name="Button 15">
              <controlPr defaultSize="0" print="0" autoFill="0" autoPict="0" macro="[0]!opentextblock">
                <anchor moveWithCells="1" sizeWithCells="1">
                  <from>
                    <xdr:col>25</xdr:col>
                    <xdr:colOff>66675</xdr:colOff>
                    <xdr:row>28</xdr:row>
                    <xdr:rowOff>66675</xdr:rowOff>
                  </from>
                  <to>
                    <xdr:col>25</xdr:col>
                    <xdr:colOff>1314450</xdr:colOff>
                    <xdr:row>28</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33"/>
      <c r="G7" s="533"/>
      <c r="H7" s="533"/>
      <c r="I7" s="63"/>
      <c r="AA7" s="303" t="s">
        <v>604</v>
      </c>
    </row>
    <row r="8" spans="5:27">
      <c r="F8" s="534"/>
      <c r="G8" s="534"/>
      <c r="H8" s="534"/>
      <c r="I8" s="63"/>
      <c r="AA8" s="303" t="s">
        <v>605</v>
      </c>
    </row>
    <row r="9" spans="5:27" ht="60" customHeight="1">
      <c r="E9" s="527" t="s">
        <v>114</v>
      </c>
      <c r="F9" s="446" t="s">
        <v>587</v>
      </c>
      <c r="G9" s="528"/>
      <c r="H9" s="528"/>
      <c r="I9" s="528"/>
      <c r="J9" s="528"/>
      <c r="K9" s="447"/>
      <c r="L9" s="446" t="s">
        <v>592</v>
      </c>
      <c r="M9" s="528"/>
      <c r="N9" s="528"/>
      <c r="O9" s="528"/>
      <c r="P9" s="447"/>
      <c r="Q9" s="532" t="s">
        <v>593</v>
      </c>
      <c r="R9" s="532"/>
      <c r="S9" s="532"/>
      <c r="T9" s="532"/>
      <c r="U9" s="532"/>
      <c r="V9" s="449" t="s">
        <v>625</v>
      </c>
      <c r="AA9" s="303" t="s">
        <v>606</v>
      </c>
    </row>
    <row r="10" spans="5:27" ht="14.25" customHeight="1">
      <c r="E10" s="462"/>
      <c r="F10" s="449" t="s">
        <v>588</v>
      </c>
      <c r="G10" s="449" t="s">
        <v>589</v>
      </c>
      <c r="H10" s="531" t="s">
        <v>590</v>
      </c>
      <c r="I10" s="27"/>
      <c r="J10" s="449" t="s">
        <v>591</v>
      </c>
      <c r="K10" s="529" t="s">
        <v>611</v>
      </c>
      <c r="L10" s="449" t="s">
        <v>588</v>
      </c>
      <c r="M10" s="449" t="s">
        <v>589</v>
      </c>
      <c r="N10" s="531" t="s">
        <v>590</v>
      </c>
      <c r="O10" s="449" t="s">
        <v>591</v>
      </c>
      <c r="P10" s="529" t="s">
        <v>611</v>
      </c>
      <c r="Q10" s="449" t="s">
        <v>594</v>
      </c>
      <c r="R10" s="449"/>
      <c r="S10" s="449"/>
      <c r="T10" s="449"/>
      <c r="U10" s="449"/>
      <c r="V10" s="449"/>
      <c r="AA10" s="303" t="s">
        <v>607</v>
      </c>
    </row>
    <row r="11" spans="5:27" ht="47.25" customHeight="1">
      <c r="E11" s="448"/>
      <c r="F11" s="449"/>
      <c r="G11" s="449"/>
      <c r="H11" s="531"/>
      <c r="I11" s="27"/>
      <c r="J11" s="449"/>
      <c r="K11" s="530"/>
      <c r="L11" s="449"/>
      <c r="M11" s="449"/>
      <c r="N11" s="531"/>
      <c r="O11" s="449"/>
      <c r="P11" s="530"/>
      <c r="Q11" s="298" t="s">
        <v>595</v>
      </c>
      <c r="R11" s="298" t="s">
        <v>596</v>
      </c>
      <c r="S11" s="307" t="s">
        <v>627</v>
      </c>
      <c r="T11" s="298" t="s">
        <v>597</v>
      </c>
      <c r="U11" s="298" t="s">
        <v>628</v>
      </c>
      <c r="V11" s="449"/>
      <c r="AA11" s="303" t="s">
        <v>608</v>
      </c>
    </row>
    <row r="12" spans="5:27">
      <c r="E12" s="301"/>
      <c r="F12" s="536" t="s">
        <v>609</v>
      </c>
      <c r="G12" s="536"/>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35"/>
      <c r="G14" s="535"/>
      <c r="H14" s="535"/>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124</v>
      </c>
      <c r="T9" s="449" t="s">
        <v>89</v>
      </c>
      <c r="U9" s="449" t="s">
        <v>12</v>
      </c>
      <c r="V9" s="449"/>
      <c r="W9" s="449" t="s">
        <v>13</v>
      </c>
      <c r="X9" s="449"/>
      <c r="Y9" s="449" t="s">
        <v>14</v>
      </c>
      <c r="Z9" s="449" t="s">
        <v>441</v>
      </c>
      <c r="AA9" s="527" t="s">
        <v>459</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row>
    <row r="12" spans="5:45" s="244" customFormat="1" ht="19.5" customHeight="1">
      <c r="E12" s="8" t="s">
        <v>72</v>
      </c>
      <c r="F12" s="537" t="s">
        <v>29</v>
      </c>
      <c r="G12" s="53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icEMM+q6iXCRhsvRGdK6tfi7N4nEaII9aIq1hnPQggeWqkgd1ehvnbdWBNBeLVjDB3NdDSGAxCZvJx7kw6mcxQ==" saltValue="7+/5RhsMS0tP+wiY3kjIIw=="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decimal" operator="lessThanOrEqual" allowBlank="1" showInputMessage="1" showErrorMessage="1" sqref="L13">
      <formula1>1</formula1>
    </dataValidation>
    <dataValidation type="list" allowBlank="1" showInputMessage="1" showErrorMessage="1" sqref="AA13">
      <formula1>$AR$2:$AS$2</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c r="AR9" t="s">
        <v>337</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c r="AR10" t="s">
        <v>338</v>
      </c>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ubcTo6t7DWyHI7nbiARbvZp/b7ktadQvPDshee3WPAY83pyNudXZ4SDEvtkgEf6J70RygF1mq9MTja2v31M5KA==" saltValue="DvT3uvPIUoBVYVfkF9PZvg=="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XFC16"/>
  <sheetViews>
    <sheetView showGridLines="0" topLeftCell="A7" zoomScale="85" zoomScaleNormal="85" workbookViewId="0">
      <selection activeCell="E16" sqref="E16"/>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0</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27" t="s">
        <v>119</v>
      </c>
      <c r="E9" s="449" t="s">
        <v>34</v>
      </c>
      <c r="F9" s="449"/>
      <c r="G9" s="527" t="s">
        <v>118</v>
      </c>
      <c r="H9" s="449" t="s">
        <v>1</v>
      </c>
      <c r="I9" s="449" t="s">
        <v>368</v>
      </c>
      <c r="J9" s="449" t="s">
        <v>3</v>
      </c>
      <c r="K9" s="449" t="s">
        <v>4</v>
      </c>
      <c r="L9" s="449" t="s">
        <v>5</v>
      </c>
      <c r="M9" s="449" t="s">
        <v>6</v>
      </c>
      <c r="N9" s="449" t="s">
        <v>7</v>
      </c>
      <c r="O9" s="449" t="s">
        <v>8</v>
      </c>
      <c r="P9" s="449"/>
      <c r="Q9" s="449"/>
      <c r="R9" s="449"/>
      <c r="S9" s="449" t="s">
        <v>9</v>
      </c>
      <c r="T9" s="527" t="s">
        <v>447</v>
      </c>
      <c r="U9" s="527" t="s">
        <v>116</v>
      </c>
      <c r="V9" s="449" t="s">
        <v>89</v>
      </c>
      <c r="W9" s="449" t="s">
        <v>12</v>
      </c>
      <c r="X9" s="449"/>
      <c r="Y9" s="449" t="s">
        <v>13</v>
      </c>
      <c r="Z9" s="449"/>
      <c r="AA9" s="449" t="s">
        <v>14</v>
      </c>
      <c r="AB9" s="449" t="s">
        <v>441</v>
      </c>
      <c r="AC9" s="527" t="s">
        <v>459</v>
      </c>
      <c r="AD9"/>
      <c r="AV9" t="s">
        <v>34</v>
      </c>
    </row>
    <row r="10" spans="4:53" ht="31.5" customHeight="1">
      <c r="D10" s="462"/>
      <c r="E10" s="449"/>
      <c r="F10" s="449"/>
      <c r="G10" s="462"/>
      <c r="H10" s="449"/>
      <c r="I10" s="449"/>
      <c r="J10" s="449"/>
      <c r="K10" s="449"/>
      <c r="L10" s="449"/>
      <c r="M10" s="449"/>
      <c r="N10" s="449"/>
      <c r="O10" s="449" t="s">
        <v>15</v>
      </c>
      <c r="P10" s="449"/>
      <c r="Q10" s="449"/>
      <c r="R10" s="449" t="s">
        <v>16</v>
      </c>
      <c r="S10" s="449"/>
      <c r="T10" s="462"/>
      <c r="U10" s="462"/>
      <c r="V10" s="449"/>
      <c r="W10" s="449"/>
      <c r="X10" s="449"/>
      <c r="Y10" s="449"/>
      <c r="Z10" s="449"/>
      <c r="AA10" s="449"/>
      <c r="AB10" s="449"/>
      <c r="AC10" s="462"/>
      <c r="AD10"/>
      <c r="AV10" t="s">
        <v>379</v>
      </c>
    </row>
    <row r="11" spans="4:53" ht="78.75" customHeight="1">
      <c r="D11" s="448"/>
      <c r="E11" s="449"/>
      <c r="F11" s="449"/>
      <c r="G11" s="448"/>
      <c r="H11" s="449"/>
      <c r="I11" s="449"/>
      <c r="J11" s="449"/>
      <c r="K11" s="449"/>
      <c r="L11" s="449"/>
      <c r="M11" s="449"/>
      <c r="N11" s="449"/>
      <c r="O11" s="27" t="s">
        <v>17</v>
      </c>
      <c r="P11" s="27" t="s">
        <v>18</v>
      </c>
      <c r="Q11" s="27" t="s">
        <v>19</v>
      </c>
      <c r="R11" s="449"/>
      <c r="S11" s="449"/>
      <c r="T11" s="448"/>
      <c r="U11" s="448"/>
      <c r="V11" s="449"/>
      <c r="W11" s="27" t="s">
        <v>20</v>
      </c>
      <c r="X11" s="27" t="s">
        <v>21</v>
      </c>
      <c r="Y11" s="27" t="s">
        <v>20</v>
      </c>
      <c r="Z11" s="27" t="s">
        <v>21</v>
      </c>
      <c r="AA11" s="449"/>
      <c r="AB11" s="449"/>
      <c r="AC11" s="448"/>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t="str">
        <f>IF(COUNT(H15:$AA$14999)=0,"",SUM(AC1:AC65533))</f>
        <v/>
      </c>
      <c r="AF13" s="296">
        <f>IF(SUM(I13:AA13)&gt;0,1,0)</f>
        <v>0</v>
      </c>
      <c r="AG13" s="296" t="str">
        <f>IF(COUNT(H15:$AA$14993)=0,"",SUM(AF1:AF65527))</f>
        <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18.75" hidden="1" customHeight="1">
      <c r="D15" s="34"/>
      <c r="Z15" s="175"/>
    </row>
    <row r="16" spans="4:53" ht="20.100000000000001" customHeight="1">
      <c r="D16" s="48"/>
      <c r="E16" s="176" t="s">
        <v>392</v>
      </c>
      <c r="F16" s="30"/>
      <c r="G16" s="49"/>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+IFERROR(IF(COUNT(W16),ROUND(SUM(W16)/SUM(M16)*100,2),""),0)</f>
        <v/>
      </c>
      <c r="Y16" s="52" t="str">
        <f>+IFERROR(IF(COUNT(Y14:Y15),ROUND(SUM(Y14:Y15),0),""),"")</f>
        <v/>
      </c>
      <c r="Z16" s="186" t="str">
        <f>+IFERROR(IF(COUNT(Y16),ROUND(SUM(Y16)/SUM(M16)*100,2),""),0)</f>
        <v/>
      </c>
      <c r="AA16" s="52" t="str">
        <f>+IFERROR(IF(COUNT(AA14:AA15),ROUND(SUM(AA14:AA15),0),""),"")</f>
        <v/>
      </c>
    </row>
  </sheetData>
  <sheetProtection algorithmName="SHA-512" hashValue="8K42zMznsGUDXo11oSV947sB493015y9Y7tOramAsfqcly+VMbOpeGek00D6SgV0r+AAPN7+tJXG6BtKoBrY+g==" saltValue="ewmWcE8Xar4Bf7esoe4MKQ==" spinCount="100000" sheet="1" objects="1" scenarios="1"/>
  <sortState ref="G15:AA20">
    <sortCondition ref="AA15"/>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T13 I13:L13 O13:P13">
      <formula1>0</formula1>
    </dataValidation>
    <dataValidation type="list" allowBlank="1" showInputMessage="1" showErrorMessage="1" sqref="E13">
      <formula1>$AR$1:$AR$6</formula1>
    </dataValidation>
    <dataValidation type="list" allowBlank="1" showInputMessage="1" showErrorMessage="1" sqref="F13">
      <formula1>$AV$9:$AV$10</formula1>
    </dataValidation>
    <dataValidation type="list" allowBlank="1" showInputMessage="1" showErrorMessage="1" sqref="AC13">
      <formula1>$AZ$2:$BA$2</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row>
    <row r="10" spans="2: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row>
    <row r="11" spans="2: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9No+5aT8q6FL06c0VDr9sVBQCS98XhEongfacG03gBrqrXBWNZdZVGp3mlw2B4uzZ9o7NU4u8kGupCZnlbjS6g==" saltValue="Ka+GngwHbqBHx/Fucf8N1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A13">
      <formula1>$AR$2:$AS$2</formula1>
    </dataValidation>
  </dataValidations>
  <hyperlinks>
    <hyperlink ref="G16" location="'Shareholding Pattern'!F20" display="Total"/>
    <hyperlink ref="F16" location="'Shareholding Pattern'!F20" display="Total"/>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Ugi1gBXalVjaPAWCg4y4e8zlhqLKf7OblBsGTN0/Nc3KMpLTdRm+0K/yJSFGD+Fui8eQWP8gZaUgDzPBvrivnA==" saltValue="Yj+WbvJiAdq2HuxvFjkP0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list" allowBlank="1" showInputMessage="1" showErrorMessage="1" sqref="AA13">
      <formula1>$AR$2:$AS$2</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c r="AR9" t="s">
        <v>338</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c r="AR10" t="s">
        <v>339</v>
      </c>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4yoGCWL/akW+GIxWk3FV1lH9CKvZ0R4eqA29jtK62eukqKjFqs9AJH3eruAJmanTL8SV/e/KMWgvKMo9bArL2Q==" saltValue="Yyt1kaFL3uupAgCMVl7pFg==" spinCount="100000" sheet="1" objects="1" scenarios="1"/>
  <mergeCells count="20">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6">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2" display="Total"/>
    <hyperlink ref="F16" location="'Shareholding Pattern'!F22" display="Total"/>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13</v>
      </c>
      <c r="X9" s="449"/>
      <c r="Y9" s="449" t="s">
        <v>14</v>
      </c>
      <c r="Z9" s="449" t="s">
        <v>441</v>
      </c>
      <c r="AA9" s="527" t="s">
        <v>459</v>
      </c>
      <c r="AR9" t="s">
        <v>338</v>
      </c>
    </row>
    <row r="10" spans="5:45"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49"/>
      <c r="Z10" s="449"/>
      <c r="AA10" s="462"/>
      <c r="AR10" t="s">
        <v>339</v>
      </c>
    </row>
    <row r="11" spans="5:45"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27" t="s">
        <v>20</v>
      </c>
      <c r="X11" s="27" t="s">
        <v>21</v>
      </c>
      <c r="Y11" s="449"/>
      <c r="Z11" s="449"/>
      <c r="AA11" s="448"/>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m6sSggW8fTrLtuAbKHF25S/hPcfSX+6iJBjlMlV/kEDBbKYSv9nqHnvCRrE6BlLA9+svbDBiwPmqvs7RuP/OPw==" saltValue="dnG3vBQWQ9X7Yq8XjbHI8w=="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27" t="s">
        <v>119</v>
      </c>
      <c r="E9" s="449" t="s">
        <v>34</v>
      </c>
      <c r="F9" s="449"/>
      <c r="G9" s="527" t="s">
        <v>118</v>
      </c>
      <c r="H9" s="449" t="s">
        <v>1</v>
      </c>
      <c r="I9" s="449" t="s">
        <v>368</v>
      </c>
      <c r="J9" s="449" t="s">
        <v>3</v>
      </c>
      <c r="K9" s="449" t="s">
        <v>4</v>
      </c>
      <c r="L9" s="449" t="s">
        <v>5</v>
      </c>
      <c r="M9" s="449" t="s">
        <v>6</v>
      </c>
      <c r="N9" s="449" t="s">
        <v>7</v>
      </c>
      <c r="O9" s="449" t="s">
        <v>8</v>
      </c>
      <c r="P9" s="449"/>
      <c r="Q9" s="449"/>
      <c r="R9" s="449"/>
      <c r="S9" s="449" t="s">
        <v>9</v>
      </c>
      <c r="T9" s="527" t="s">
        <v>447</v>
      </c>
      <c r="U9" s="527" t="s">
        <v>116</v>
      </c>
      <c r="V9" s="449" t="s">
        <v>89</v>
      </c>
      <c r="W9" s="449" t="s">
        <v>12</v>
      </c>
      <c r="X9" s="449"/>
      <c r="Y9" s="449" t="s">
        <v>13</v>
      </c>
      <c r="Z9" s="449"/>
      <c r="AA9" s="449" t="s">
        <v>14</v>
      </c>
      <c r="AB9" s="449" t="s">
        <v>441</v>
      </c>
      <c r="AC9" s="527" t="s">
        <v>459</v>
      </c>
      <c r="AD9"/>
      <c r="AV9" t="s">
        <v>34</v>
      </c>
    </row>
    <row r="10" spans="4:53" ht="31.5" customHeight="1">
      <c r="D10" s="462"/>
      <c r="E10" s="449"/>
      <c r="F10" s="449"/>
      <c r="G10" s="462"/>
      <c r="H10" s="449"/>
      <c r="I10" s="449"/>
      <c r="J10" s="449"/>
      <c r="K10" s="449"/>
      <c r="L10" s="449"/>
      <c r="M10" s="449"/>
      <c r="N10" s="449"/>
      <c r="O10" s="449" t="s">
        <v>15</v>
      </c>
      <c r="P10" s="449"/>
      <c r="Q10" s="449"/>
      <c r="R10" s="449" t="s">
        <v>16</v>
      </c>
      <c r="S10" s="449"/>
      <c r="T10" s="462"/>
      <c r="U10" s="462"/>
      <c r="V10" s="449"/>
      <c r="W10" s="449"/>
      <c r="X10" s="449"/>
      <c r="Y10" s="449"/>
      <c r="Z10" s="449"/>
      <c r="AA10" s="449"/>
      <c r="AB10" s="449"/>
      <c r="AC10" s="462"/>
      <c r="AD10"/>
      <c r="AV10" t="s">
        <v>379</v>
      </c>
    </row>
    <row r="11" spans="4:53" ht="78.75" customHeight="1">
      <c r="D11" s="448"/>
      <c r="E11" s="449"/>
      <c r="F11" s="449"/>
      <c r="G11" s="448"/>
      <c r="H11" s="449"/>
      <c r="I11" s="449"/>
      <c r="J11" s="449"/>
      <c r="K11" s="449"/>
      <c r="L11" s="449"/>
      <c r="M11" s="449"/>
      <c r="N11" s="449"/>
      <c r="O11" s="27" t="s">
        <v>17</v>
      </c>
      <c r="P11" s="27" t="s">
        <v>18</v>
      </c>
      <c r="Q11" s="27" t="s">
        <v>19</v>
      </c>
      <c r="R11" s="449"/>
      <c r="S11" s="449"/>
      <c r="T11" s="448"/>
      <c r="U11" s="448"/>
      <c r="V11" s="449"/>
      <c r="W11" s="27" t="s">
        <v>20</v>
      </c>
      <c r="X11" s="27" t="s">
        <v>21</v>
      </c>
      <c r="Y11" s="27" t="s">
        <v>20</v>
      </c>
      <c r="Z11" s="27" t="s">
        <v>21</v>
      </c>
      <c r="AA11" s="449"/>
      <c r="AB11" s="449"/>
      <c r="AC11" s="448"/>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rnay7ajbF2ESTqvPgPkHj4jZK9U3hyuLa91tSb7MXLv3pc7BNJVJlDaXxeJWx+W2kMd2FPgBbZlm/pRm3lgTpw==" saltValue="P6NNHob7zBMQA/VpGpxcKw=="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list" allowBlank="1" showInputMessage="1" showErrorMessage="1" sqref="E13">
      <formula1>$AR$3:$BA$3</formula1>
    </dataValidation>
    <dataValidation type="whole" operator="greaterThanOrEqual" allowBlank="1" showInputMessage="1" showErrorMessage="1" sqref="O13:P13 S13:T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AC13">
      <formula1>$AR$2:$AS$2</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Q3NHdJNyGBq+lld5N23s3BB/agxkBWVEaMcpSgcrrKPLoAoLIKal9r3xaIN/yZ5h0WfHV0gxc0ZlKTOc7oerSw==" saltValue="0ypL12TWu8Zd8v2OxOtd9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wURH9qDdcbJpxlIBh5AKXZSPCUIcFas58U00gxbNwmx3BLq8DqtAsWwaOI+ELbjibFu/RfeNhA/UeJimbbMejQ==" saltValue="DGXkqWieBDNzbu4VFh59L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1" display="Total"/>
    <hyperlink ref="F16" location="'Shareholding Pattern'!F31" display="Total"/>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lI2r/h9b22eIn4RNpXIvM0rBicHwn8SfXIMnfNGeeVqUcJdw7peSWWIMt8SBQGJTpgrjGSFrK+WGRwbx809kcQ==" saltValue="oYrrPqnPGMz6HFYj63NF7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2" display="Total"/>
    <hyperlink ref="F16" location="'Shareholding Pattern'!F32" display="Total"/>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Q9" t="s">
        <v>346</v>
      </c>
    </row>
    <row r="10" spans="5:43"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Q10" t="s">
        <v>336</v>
      </c>
    </row>
    <row r="11" spans="5:43"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t7oqceYNYDYixn70kl54Jx5V7lOIkPxS+PQQijfA9FguyQg2gM4r+WmmEZ8rR9tuUY34PQzV+ICO8veLY8sEA==" saltValue="94f2QlgGGFLdRLTmKkgPz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3" display="Total"/>
    <hyperlink ref="F16" location="'Shareholding Pattern'!F44" display="Click here to go back"/>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Q9" t="s">
        <v>346</v>
      </c>
    </row>
    <row r="10" spans="5:43"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Q10" t="s">
        <v>336</v>
      </c>
    </row>
    <row r="11" spans="5:43"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7Nr90kkdKSkgaRT8Og829cRLH8dWK7vbeUP2nY76EGzRIOlFOdYhqdxxToIvzdZEht6TvDnRVRPwYvQGJBr+oQ==" saltValue="nsZ7GvvmnxAVr6Q1Ghhj4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4" display="Total"/>
    <hyperlink ref="F16" location="'Shareholding Pattern'!F46" display="Click here to go back"/>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zwBtZKZ2a+yHzzShh2ln36GmA7PHQHBrK9R/vGsjrrd83PzY2bysOJrAM59JKgzpksdv/eWVpRfr2HxZoZqWyg==" saltValue="cf86ClcE5n7Qi2VnxfmVnw=="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5" display="Total"/>
    <hyperlink ref="F16" location="'Shareholding Pattern'!F33" display="Click here to go back"/>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5D2nyTTsAhXLHuV5hpv7fmBgM1VWlEh5JBNvxrEOJ8QqiC1u/tOapVe4ERktNI6jJ8VHGYckHBYxB7DeU9tdNw==" saltValue="f3dCxAfEVJsBhEhGTYiSg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6" display="Total"/>
    <hyperlink ref="F16" location="'Shareholding Pattern'!F34" display="Click here to go back"/>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7">
    <tabColor theme="7"/>
  </sheetPr>
  <dimension ref="A1:XFC20"/>
  <sheetViews>
    <sheetView showGridLines="0" topLeftCell="A7" zoomScale="90" zoomScaleNormal="90" workbookViewId="0">
      <selection activeCell="F22" sqref="F22"/>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2" t="s">
        <v>905</v>
      </c>
      <c r="G15" s="376" t="s">
        <v>909</v>
      </c>
      <c r="H15" s="38">
        <v>2266000</v>
      </c>
      <c r="I15" s="38"/>
      <c r="J15" s="38"/>
      <c r="K15" s="380">
        <f>+IFERROR(IF(COUNT(H15:J15),ROUND(SUM(H15:J15),0),""),"")</f>
        <v>2266000</v>
      </c>
      <c r="L15" s="42">
        <f>+IFERROR(IF(COUNT(K15),ROUND(K15/'Shareholding Pattern'!$L$78*100,2),""),"")</f>
        <v>4.57</v>
      </c>
      <c r="M15" s="170">
        <f>IF(H15="","",H15)</f>
        <v>2266000</v>
      </c>
      <c r="N15" s="170"/>
      <c r="O15" s="229">
        <f>+IFERROR(IF(COUNT(M15:N15),ROUND(SUM(M15,N15),2),""),"")</f>
        <v>2266000</v>
      </c>
      <c r="P15" s="42">
        <f>+IFERROR(IF(COUNT(O15),ROUND(O15/('Shareholding Pattern'!$P$79)*100,2),""),"")</f>
        <v>4.57</v>
      </c>
      <c r="Q15" s="38"/>
      <c r="R15" s="38"/>
      <c r="S15" s="380" t="str">
        <f>+IFERROR(IF(COUNT(Q15:R15),ROUND(SUM(Q15:R15),0),""),"")</f>
        <v/>
      </c>
      <c r="T15" s="42">
        <f>+IFERROR(IF(COUNT(K15,S15),ROUND(SUM(S15,K15)/SUM('Shareholding Pattern'!$L$78,'Shareholding Pattern'!$T$78)*100,2),""),"")</f>
        <v>4.57</v>
      </c>
      <c r="U15" s="38"/>
      <c r="V15" s="14" t="str">
        <f>+IFERROR(IF(COUNT(U15),ROUND(SUM(U15)/SUM(K15)*100,2),""),0)</f>
        <v/>
      </c>
      <c r="W15" s="38">
        <v>2266000</v>
      </c>
      <c r="X15" s="228"/>
      <c r="Y15" s="38">
        <v>0</v>
      </c>
      <c r="Z15" s="38">
        <v>0</v>
      </c>
      <c r="AA15" s="38">
        <v>0</v>
      </c>
      <c r="AB15" s="10"/>
      <c r="AC15" s="10" t="e">
        <f>SUM(#REF!)</f>
        <v>#REF!</v>
      </c>
    </row>
    <row r="16" spans="5:29" ht="24.95" customHeight="1">
      <c r="E16" s="53">
        <v>2</v>
      </c>
      <c r="F16" s="382" t="s">
        <v>906</v>
      </c>
      <c r="G16" s="376" t="s">
        <v>910</v>
      </c>
      <c r="H16" s="38">
        <v>2253627</v>
      </c>
      <c r="I16" s="38"/>
      <c r="J16" s="38"/>
      <c r="K16" s="380">
        <f>+IFERROR(IF(COUNT(H16:J16),ROUND(SUM(H16:J16),0),""),"")</f>
        <v>2253627</v>
      </c>
      <c r="L16" s="42">
        <f>+IFERROR(IF(COUNT(K16),ROUND(K16/'Shareholding Pattern'!$L$78*100,2),""),"")</f>
        <v>4.54</v>
      </c>
      <c r="M16" s="170">
        <f>IF(H16="","",H16)</f>
        <v>2253627</v>
      </c>
      <c r="N16" s="170"/>
      <c r="O16" s="229">
        <f>+IFERROR(IF(COUNT(M16:N16),ROUND(SUM(M16,N16),2),""),"")</f>
        <v>2253627</v>
      </c>
      <c r="P16" s="42">
        <f>+IFERROR(IF(COUNT(O16),ROUND(O16/('Shareholding Pattern'!$P$79)*100,2),""),"")</f>
        <v>4.54</v>
      </c>
      <c r="Q16" s="38"/>
      <c r="R16" s="38"/>
      <c r="S16" s="380" t="str">
        <f>+IFERROR(IF(COUNT(Q16:R16),ROUND(SUM(Q16:R16),0),""),"")</f>
        <v/>
      </c>
      <c r="T16" s="42">
        <f>+IFERROR(IF(COUNT(K16,S16),ROUND(SUM(S16,K16)/SUM('Shareholding Pattern'!$L$78,'Shareholding Pattern'!$T$78)*100,2),""),"")</f>
        <v>4.54</v>
      </c>
      <c r="U16" s="38"/>
      <c r="V16" s="14" t="str">
        <f>+IFERROR(IF(COUNT(U16),ROUND(SUM(U16)/SUM(K16)*100,2),""),0)</f>
        <v/>
      </c>
      <c r="W16" s="38">
        <v>2253627</v>
      </c>
      <c r="X16" s="228"/>
      <c r="Y16" s="38">
        <v>0</v>
      </c>
      <c r="Z16" s="38">
        <v>0</v>
      </c>
      <c r="AA16" s="38">
        <v>0</v>
      </c>
      <c r="AB16" s="10"/>
      <c r="AC16" s="10" t="e">
        <f>SUM(#REF!)</f>
        <v>#REF!</v>
      </c>
    </row>
    <row r="17" spans="5:29" ht="24.95" customHeight="1">
      <c r="E17" s="53">
        <v>3</v>
      </c>
      <c r="F17" s="382" t="s">
        <v>907</v>
      </c>
      <c r="G17" s="376" t="s">
        <v>911</v>
      </c>
      <c r="H17" s="38">
        <v>2036300</v>
      </c>
      <c r="I17" s="38"/>
      <c r="J17" s="38"/>
      <c r="K17" s="380">
        <f>+IFERROR(IF(COUNT(H17:J17),ROUND(SUM(H17:J17),0),""),"")</f>
        <v>2036300</v>
      </c>
      <c r="L17" s="42">
        <f>+IFERROR(IF(COUNT(K17),ROUND(K17/'Shareholding Pattern'!$L$78*100,2),""),"")</f>
        <v>4.0999999999999996</v>
      </c>
      <c r="M17" s="170">
        <f>IF(H17="","",H17)</f>
        <v>2036300</v>
      </c>
      <c r="N17" s="170"/>
      <c r="O17" s="229">
        <f>+IFERROR(IF(COUNT(M17:N17),ROUND(SUM(M17,N17),2),""),"")</f>
        <v>2036300</v>
      </c>
      <c r="P17" s="42">
        <f>+IFERROR(IF(COUNT(O17),ROUND(O17/('Shareholding Pattern'!$P$79)*100,2),""),"")</f>
        <v>4.0999999999999996</v>
      </c>
      <c r="Q17" s="38"/>
      <c r="R17" s="38"/>
      <c r="S17" s="380" t="str">
        <f>+IFERROR(IF(COUNT(Q17:R17),ROUND(SUM(Q17:R17),0),""),"")</f>
        <v/>
      </c>
      <c r="T17" s="42">
        <f>+IFERROR(IF(COUNT(K17,S17),ROUND(SUM(S17,K17)/SUM('Shareholding Pattern'!$L$78,'Shareholding Pattern'!$T$78)*100,2),""),"")</f>
        <v>4.0999999999999996</v>
      </c>
      <c r="U17" s="38"/>
      <c r="V17" s="14" t="str">
        <f>+IFERROR(IF(COUNT(U17),ROUND(SUM(U17)/SUM(K17)*100,2),""),0)</f>
        <v/>
      </c>
      <c r="W17" s="38">
        <v>2036300</v>
      </c>
      <c r="X17" s="228"/>
      <c r="Y17" s="38">
        <v>0</v>
      </c>
      <c r="Z17" s="38">
        <v>0</v>
      </c>
      <c r="AA17" s="38">
        <v>0</v>
      </c>
      <c r="AB17" s="10"/>
      <c r="AC17" s="10" t="e">
        <f>SUM(#REF!)</f>
        <v>#REF!</v>
      </c>
    </row>
    <row r="18" spans="5:29" ht="24.95" customHeight="1">
      <c r="E18" s="53">
        <v>4</v>
      </c>
      <c r="F18" s="382" t="s">
        <v>908</v>
      </c>
      <c r="G18" s="376" t="s">
        <v>912</v>
      </c>
      <c r="H18" s="38">
        <v>1825000</v>
      </c>
      <c r="I18" s="38"/>
      <c r="J18" s="38"/>
      <c r="K18" s="380">
        <f>+IFERROR(IF(COUNT(H18:J18),ROUND(SUM(H18:J18),0),""),"")</f>
        <v>1825000</v>
      </c>
      <c r="L18" s="42">
        <f>+IFERROR(IF(COUNT(K18),ROUND(K18/'Shareholding Pattern'!$L$78*100,2),""),"")</f>
        <v>3.68</v>
      </c>
      <c r="M18" s="170">
        <f>IF(H18="","",H18)</f>
        <v>1825000</v>
      </c>
      <c r="N18" s="170"/>
      <c r="O18" s="229">
        <f>+IFERROR(IF(COUNT(M18:N18),ROUND(SUM(M18,N18),2),""),"")</f>
        <v>1825000</v>
      </c>
      <c r="P18" s="42">
        <f>+IFERROR(IF(COUNT(O18),ROUND(O18/('Shareholding Pattern'!$P$79)*100,2),""),"")</f>
        <v>3.68</v>
      </c>
      <c r="Q18" s="38"/>
      <c r="R18" s="38"/>
      <c r="S18" s="380" t="str">
        <f>+IFERROR(IF(COUNT(Q18:R18),ROUND(SUM(Q18:R18),0),""),"")</f>
        <v/>
      </c>
      <c r="T18" s="42">
        <f>+IFERROR(IF(COUNT(K18,S18),ROUND(SUM(S18,K18)/SUM('Shareholding Pattern'!$L$78,'Shareholding Pattern'!$T$78)*100,2),""),"")</f>
        <v>3.68</v>
      </c>
      <c r="U18" s="38"/>
      <c r="V18" s="14" t="str">
        <f>+IFERROR(IF(COUNT(U18),ROUND(SUM(U18)/SUM(K18)*100,2),""),0)</f>
        <v/>
      </c>
      <c r="W18" s="38">
        <v>1825000</v>
      </c>
      <c r="X18" s="228"/>
      <c r="Y18" s="38">
        <v>0</v>
      </c>
      <c r="Z18" s="38">
        <v>0</v>
      </c>
      <c r="AA18" s="38">
        <v>0</v>
      </c>
      <c r="AB18" s="10"/>
      <c r="AC18" s="10" t="e">
        <f>SUM(#REF!)</f>
        <v>#REF!</v>
      </c>
    </row>
    <row r="19" spans="5:29" hidden="1">
      <c r="E19" s="34"/>
      <c r="J19" s="169"/>
      <c r="K19" s="169"/>
      <c r="N19" s="169"/>
      <c r="O19" s="169"/>
      <c r="V19" s="169"/>
      <c r="W19" s="35"/>
      <c r="X19" s="35"/>
      <c r="Y19" s="35"/>
      <c r="Z19" s="35"/>
      <c r="AA19" s="36"/>
    </row>
    <row r="20" spans="5:29" ht="20.100000000000001" customHeight="1">
      <c r="E20" s="48"/>
      <c r="F20" s="49" t="s">
        <v>392</v>
      </c>
      <c r="G20" s="49" t="s">
        <v>19</v>
      </c>
      <c r="H20" s="44">
        <f>+IFERROR(IF(COUNT(H14:H19),ROUND(SUM(H14:H19),0),""),"")</f>
        <v>8380927</v>
      </c>
      <c r="I20" s="44" t="str">
        <f>+IFERROR(IF(COUNT(I14:I19),ROUND(SUM(I14:I19),0),""),"")</f>
        <v/>
      </c>
      <c r="J20" s="44" t="str">
        <f>+IFERROR(IF(COUNT(J14:J19),ROUND(SUM(J14:J19),0),""),"")</f>
        <v/>
      </c>
      <c r="K20" s="44">
        <f>+IFERROR(IF(COUNT(K14:K19),ROUND(SUM(K14:K19),0),""),"")</f>
        <v>8380927</v>
      </c>
      <c r="L20" s="14">
        <f>+IFERROR(IF(COUNT(K20),ROUND(K20/'Shareholding Pattern'!$L$78*100,2),""),"")</f>
        <v>16.89</v>
      </c>
      <c r="M20" s="29">
        <f>+IFERROR(IF(COUNT(M14:M19),ROUND(SUM(M14:M19),0),""),"")</f>
        <v>8380927</v>
      </c>
      <c r="N20" s="29" t="str">
        <f>+IFERROR(IF(COUNT(N14:N19),ROUND(SUM(N14:N19),0),""),"")</f>
        <v/>
      </c>
      <c r="O20" s="29">
        <f>+IFERROR(IF(COUNT(O14:O19),ROUND(SUM(O14:O19),0),""),"")</f>
        <v>8380927</v>
      </c>
      <c r="P20" s="14">
        <f>+IFERROR(IF(COUNT(O20),ROUND(O20/('Shareholding Pattern'!$P$79)*100,2),""),"")</f>
        <v>16.89</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16.89</v>
      </c>
      <c r="U20" s="44" t="str">
        <f>+IFERROR(IF(COUNT(U14:U19),ROUND(SUM(U14:U19),0),""),"")</f>
        <v/>
      </c>
      <c r="V20" s="14" t="str">
        <f>+IFERROR(IF(COUNT(U20),ROUND(SUM(U20)/SUM(K20)*100,2),""),0)</f>
        <v/>
      </c>
      <c r="W20" s="44">
        <f>+IFERROR(IF(COUNT(W14:W19),ROUND(SUM(W14:W19),0),""),"")</f>
        <v>8380927</v>
      </c>
      <c r="X20" s="337"/>
      <c r="Y20" s="44">
        <f>+IFERROR(IF(COUNT(Y14:Y19),ROUND(SUM(Y14:Y19),0),""),"")</f>
        <v>0</v>
      </c>
      <c r="Z20" s="44">
        <f>+IFERROR(IF(COUNT(Z14:Z19),ROUND(SUM(Z14:Z19),0),""),"")</f>
        <v>0</v>
      </c>
      <c r="AA20" s="44">
        <f>+IFERROR(IF(COUNT(AA14:AA19),ROUND(SUM(AA14:AA19),0),""),"")</f>
        <v>0</v>
      </c>
    </row>
  </sheetData>
  <sheetProtection algorithmName="SHA-512" hashValue="T8oaXbfXLjFQmv/oC+ywL20VoGKpI0FqCKFve1AF2/OhivPwPm/SD7p8xbU41O7KRmMhxNrPB/ymLF0C0SGiUg==" saltValue="Qf3ej1BgOzp+ED2QKb6aX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U18">
      <formula1>H13</formula1>
    </dataValidation>
    <dataValidation type="whole" operator="lessThanOrEqual" allowBlank="1" showInputMessage="1" showErrorMessage="1" sqref="W13 W15:W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Q13:R13 M13:N13 H13:J13 Q15:R18 M15:N18 H15:J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formula1>K13</formula1>
    </dataValidation>
  </dataValidations>
  <hyperlinks>
    <hyperlink ref="G20" location="'Shareholding Pattern'!F40" display="Total"/>
    <hyperlink ref="F20" location="'Shareholding Pattern'!F68"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23554"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23555"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23556"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8sFX5vyZFMqhCRVvGec/8/HcTVgSiaouOn8xzcrsqUjFvl0zGC8tur12A8c2oBODy3+zslvOrFJig4yRm+0xNw==" saltValue="2B/ZCYtc2bZglL4d8+pLt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7" display="Click here to go back"/>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ASkMQo5+inDOwLVoArLvMyTuIz2Sb6QFFMIu2OdDgzv+rsdtyPHTfBZ4/6pxu+SkqxO5colQlgzZouVQ3n3Ug==" saltValue="n3SqN8Yy3gILiCl6ryB90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6" display="Click here to go back"/>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941KPM4krDGjPMnZ2YfRp5CMooNinwZ2IyG0WDUKXrGTNsvqbp7Y319/obEnQeFwma/rI1+4jHh7eQAcoadTbw==" saltValue="M7TRD65fNvkj3w6RJTH9U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5" display="Click here to go back"/>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ftw96z39FKV6L0vjbu/a10mJgF+uL8N5+i9F/22zAWIJZmM0+rO3SpHXir8L8T/XCSnJv6frIH38hdtyAJS8w==" saltValue="hbvZmQgh6tIF/OYFJ8Onx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2" display="Click here to go back"/>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wQ/gFsfLsT0iwp+nlC3qsO6VrkYR96tuPgzAITb4h0MUkzHjHMgT+I7m8gSonF3rYIDKHZHoUBFilETSn0YIlA==" saltValue="gvg4qU7cG4bVRY/4kbdsj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1" display="Click here to go back"/>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E7WmgImH0NG3ryGriq9MRyYK57L1igdmxTEI5bubc7J6LXN08FVSgn2D2zMT0VUH3pGdRH4fDgrhZUfRcxoXmQ==" saltValue="jI4X2lHpT4mymqMgqxt4f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0" display="Click here to go back"/>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Htwvmayle3SGkFPaXpg0UPrYziybXPu5YLVFhMNiUMNJ0Iwi6vw8H3GzPF/mbEPg8HIgXAZV2Qtk4x+qrAUSw==" saltValue="ToJfrc6MNRRt67kBOXqJQ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9" display="Click here to go back"/>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c5VJVcRBot+oQRrXJDrFi6c/Zk44ZjAG9Qwf/xuDuBDXgUuMcxijO3LEASVu/hoe7mq4t4yShK5Ez1VMKL25Zg==" saltValue="sfdQxHuDxWIpKSXC+JcTD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8" display="Click here to go back"/>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ktT3sWWsy06lqbbo9gHzHBm36M0O3B3albI3NZbVsgpU4yh6VJx6jyhzOHSo9Po7UUJnb83W01rHDBAQtEIKMw==" saltValue="dU0waQ0mifse3cb1vOrIh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7" display="Click here to go back"/>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NgFcG7VDjZK6YxF9znH3JxISGCyJvUBf7ugxlI28lJsDQjZxgbhGjh23oLCpc3kLLGNHHPUV0uR0GQye8NqAGQ==" saltValue="oBiIi0B0sOaTs8YhnDY29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4" display="Click here to go back"/>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3Kq84a05SwRE3brr8P3UIBXl0+SJsibskgbJGHaoNIAY8c6AjwFGiaGuDPesLrho4fuUqSKsIhLYW23hbr6PBA==" saltValue="Z03go+2VmvRtLWyMs1Pyd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3" display="Click here to go back"/>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d80Z5m6tXLwWm9JFH6GcwA1rZ8gMCvlkPeIvAX/PdiIXoLcJ+4anUZYI//R7ljc1+lrfhFEWumRZej1vuO2Sg==" saltValue="3s+wPZqsDb84AksCj5u8eQ=="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2" display="Click here to go back"/>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7" t="s">
        <v>119</v>
      </c>
      <c r="E9" s="527" t="s">
        <v>34</v>
      </c>
      <c r="F9" s="527" t="s">
        <v>376</v>
      </c>
      <c r="G9" s="527" t="s">
        <v>118</v>
      </c>
      <c r="H9" s="449" t="s">
        <v>1</v>
      </c>
      <c r="I9" s="527" t="s">
        <v>368</v>
      </c>
      <c r="J9" s="449" t="s">
        <v>3</v>
      </c>
      <c r="K9" s="449" t="s">
        <v>4</v>
      </c>
      <c r="L9" s="449" t="s">
        <v>5</v>
      </c>
      <c r="M9" s="449" t="s">
        <v>6</v>
      </c>
      <c r="N9" s="449" t="s">
        <v>7</v>
      </c>
      <c r="O9" s="449" t="s">
        <v>8</v>
      </c>
      <c r="P9" s="449"/>
      <c r="Q9" s="449"/>
      <c r="R9" s="449"/>
      <c r="S9" s="449" t="s">
        <v>9</v>
      </c>
      <c r="T9" s="527" t="s">
        <v>447</v>
      </c>
      <c r="U9" s="527" t="s">
        <v>120</v>
      </c>
      <c r="V9" s="449" t="s">
        <v>89</v>
      </c>
      <c r="W9" s="449" t="s">
        <v>12</v>
      </c>
      <c r="X9" s="449"/>
      <c r="Y9" s="449" t="s">
        <v>14</v>
      </c>
      <c r="Z9" s="449" t="s">
        <v>441</v>
      </c>
      <c r="AA9" s="518" t="s">
        <v>707</v>
      </c>
      <c r="AB9" s="519"/>
      <c r="AC9" s="520"/>
      <c r="AG9" t="s">
        <v>348</v>
      </c>
      <c r="AV9" t="s">
        <v>34</v>
      </c>
    </row>
    <row r="10" spans="4:57" ht="31.5" customHeight="1">
      <c r="D10" s="462"/>
      <c r="E10" s="462"/>
      <c r="F10" s="462"/>
      <c r="G10" s="462"/>
      <c r="H10" s="449"/>
      <c r="I10" s="462"/>
      <c r="J10" s="449"/>
      <c r="K10" s="449"/>
      <c r="L10" s="449"/>
      <c r="M10" s="449"/>
      <c r="N10" s="449"/>
      <c r="O10" s="449" t="s">
        <v>15</v>
      </c>
      <c r="P10" s="449"/>
      <c r="Q10" s="449"/>
      <c r="R10" s="449" t="s">
        <v>16</v>
      </c>
      <c r="S10" s="449"/>
      <c r="T10" s="462"/>
      <c r="U10" s="493"/>
      <c r="V10" s="449"/>
      <c r="W10" s="449"/>
      <c r="X10" s="449"/>
      <c r="Y10" s="449"/>
      <c r="Z10" s="449"/>
      <c r="AA10" s="456" t="s">
        <v>708</v>
      </c>
      <c r="AB10" s="457"/>
      <c r="AC10" s="458"/>
      <c r="AG10" t="s">
        <v>339</v>
      </c>
      <c r="AV10" t="s">
        <v>379</v>
      </c>
    </row>
    <row r="11" spans="4:57" ht="45">
      <c r="D11" s="448"/>
      <c r="E11" s="448"/>
      <c r="F11" s="448"/>
      <c r="G11" s="448"/>
      <c r="H11" s="449"/>
      <c r="I11" s="448"/>
      <c r="J11" s="449"/>
      <c r="K11" s="449"/>
      <c r="L11" s="449"/>
      <c r="M11" s="449"/>
      <c r="N11" s="449"/>
      <c r="O11" s="27" t="s">
        <v>17</v>
      </c>
      <c r="P11" s="27" t="s">
        <v>18</v>
      </c>
      <c r="Q11" s="27" t="s">
        <v>19</v>
      </c>
      <c r="R11" s="449"/>
      <c r="S11" s="449"/>
      <c r="T11" s="448"/>
      <c r="U11" s="494"/>
      <c r="V11" s="449"/>
      <c r="W11" s="27" t="s">
        <v>20</v>
      </c>
      <c r="X11" s="27" t="s">
        <v>21</v>
      </c>
      <c r="Y11" s="449"/>
      <c r="Z11" s="449"/>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Sbqz0GPbEjEkTXfjo/4S1j2mK6DaTR397Opp4NTC/6DWfx8deUMyrqlMIgXJMFA33gvDVD/ixPaDUI3NR6jiRA==" saltValue="2B92/umShtd8/iG2xNzT8g=="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formula1>$AV$9:$AV$10</formula1>
    </dataValidation>
    <dataValidation type="list" allowBlank="1" showInputMessage="1" showErrorMessage="1" sqref="E13">
      <formula1>$AR$1:$BE$1</formula1>
    </dataValidation>
    <dataValidation type="whole" operator="greaterThan" allowBlank="1" showInputMessage="1" showErrorMessage="1" sqref="I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OrEqual" allowBlank="1" showInputMessage="1" showErrorMessage="1" sqref="O13:P13 J13:L13 S13:T13">
      <formula1>0</formula1>
    </dataValidation>
    <dataValidation type="whole" operator="lessThanOrEqual" allowBlank="1" showInputMessage="1" showErrorMessage="1" sqref="W13">
      <formula1>J13</formula1>
    </dataValidation>
    <dataValidation type="whole" operator="lessThanOrEqual" allowBlank="1" showInputMessage="1" showErrorMessage="1" sqref="Y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9" display="Click here to go back"/>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7" t="s">
        <v>119</v>
      </c>
      <c r="E9" s="527" t="s">
        <v>34</v>
      </c>
      <c r="F9" s="527" t="s">
        <v>376</v>
      </c>
      <c r="G9" s="527" t="s">
        <v>118</v>
      </c>
      <c r="H9" s="449" t="s">
        <v>1</v>
      </c>
      <c r="I9" s="527" t="s">
        <v>368</v>
      </c>
      <c r="J9" s="449" t="s">
        <v>3</v>
      </c>
      <c r="K9" s="449" t="s">
        <v>4</v>
      </c>
      <c r="L9" s="449" t="s">
        <v>5</v>
      </c>
      <c r="M9" s="449" t="s">
        <v>6</v>
      </c>
      <c r="N9" s="449" t="s">
        <v>7</v>
      </c>
      <c r="O9" s="449" t="s">
        <v>8</v>
      </c>
      <c r="P9" s="449"/>
      <c r="Q9" s="449"/>
      <c r="R9" s="449"/>
      <c r="S9" s="449" t="s">
        <v>9</v>
      </c>
      <c r="T9" s="527" t="s">
        <v>447</v>
      </c>
      <c r="U9" s="527" t="s">
        <v>120</v>
      </c>
      <c r="V9" s="449" t="s">
        <v>89</v>
      </c>
      <c r="W9" s="449" t="s">
        <v>12</v>
      </c>
      <c r="X9" s="449"/>
      <c r="Y9" s="449" t="s">
        <v>14</v>
      </c>
      <c r="Z9" s="449" t="s">
        <v>441</v>
      </c>
      <c r="AA9" s="518" t="s">
        <v>707</v>
      </c>
      <c r="AB9" s="519"/>
      <c r="AC9" s="520"/>
      <c r="AG9" t="s">
        <v>348</v>
      </c>
      <c r="AV9" t="s">
        <v>34</v>
      </c>
    </row>
    <row r="10" spans="4:57" ht="31.5" customHeight="1">
      <c r="D10" s="462"/>
      <c r="E10" s="462"/>
      <c r="F10" s="462"/>
      <c r="G10" s="462"/>
      <c r="H10" s="449"/>
      <c r="I10" s="462"/>
      <c r="J10" s="449"/>
      <c r="K10" s="449"/>
      <c r="L10" s="449"/>
      <c r="M10" s="449"/>
      <c r="N10" s="449"/>
      <c r="O10" s="449" t="s">
        <v>15</v>
      </c>
      <c r="P10" s="449"/>
      <c r="Q10" s="449"/>
      <c r="R10" s="449" t="s">
        <v>16</v>
      </c>
      <c r="S10" s="449"/>
      <c r="T10" s="462"/>
      <c r="U10" s="493"/>
      <c r="V10" s="449"/>
      <c r="W10" s="449"/>
      <c r="X10" s="449"/>
      <c r="Y10" s="449"/>
      <c r="Z10" s="449"/>
      <c r="AA10" s="456" t="s">
        <v>708</v>
      </c>
      <c r="AB10" s="457"/>
      <c r="AC10" s="458"/>
      <c r="AG10" t="s">
        <v>339</v>
      </c>
      <c r="AV10" t="s">
        <v>379</v>
      </c>
    </row>
    <row r="11" spans="4:57" ht="45">
      <c r="D11" s="448"/>
      <c r="E11" s="448"/>
      <c r="F11" s="448"/>
      <c r="G11" s="448"/>
      <c r="H11" s="449"/>
      <c r="I11" s="448"/>
      <c r="J11" s="449"/>
      <c r="K11" s="449"/>
      <c r="L11" s="449"/>
      <c r="M11" s="449"/>
      <c r="N11" s="449"/>
      <c r="O11" s="27" t="s">
        <v>17</v>
      </c>
      <c r="P11" s="27" t="s">
        <v>18</v>
      </c>
      <c r="Q11" s="27" t="s">
        <v>19</v>
      </c>
      <c r="R11" s="449"/>
      <c r="S11" s="449"/>
      <c r="T11" s="448"/>
      <c r="U11" s="494"/>
      <c r="V11" s="449"/>
      <c r="W11" s="27" t="s">
        <v>20</v>
      </c>
      <c r="X11" s="27" t="s">
        <v>21</v>
      </c>
      <c r="Y11" s="449"/>
      <c r="Z11" s="449"/>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ClMZUBdbUCdG4mETmLs8DAxuL76BVJ6iNTY+Jd2gXmF/YTI45w0XDJwcEzXLJR6MuoBq3OIpLM4+e9SsfJ6eMw==" saltValue="OV5wndD61OYwHlMl31UcbQ=="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greaterThanOrEqual" allowBlank="1" showInputMessage="1" showErrorMessage="1" sqref="O13:P13 J13:L13 S13:T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 allowBlank="1" showInputMessage="1" showErrorMessage="1" sqref="I13">
      <formula1>0</formula1>
    </dataValidation>
    <dataValidation type="list" allowBlank="1" showInputMessage="1" showErrorMessage="1" sqref="E13">
      <formula1>$AR$1:$BE$1</formula1>
    </dataValidation>
    <dataValidation type="list" allowBlank="1" showInputMessage="1" showErrorMessage="1" sqref="F13">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0" display="Click here to go back"/>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Q9" t="s">
        <v>346</v>
      </c>
    </row>
    <row r="10" spans="5:43"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Q10" t="s">
        <v>336</v>
      </c>
    </row>
    <row r="11" spans="5:43"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GIfJpgI7KnMmpOKo7TY3A+9BzOVPSGEvDkCObPVWU6hBHcwW+2lBTekchBZDYwuagPIzO2QPyEZ7MXOmge7DwA==" saltValue="vpeylaHm9hAfBmi7RIfgY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Q9" t="s">
        <v>346</v>
      </c>
    </row>
    <row r="10" spans="5:43"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Q10" t="s">
        <v>336</v>
      </c>
    </row>
    <row r="11" spans="5:43"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TtN2sLJt7YjGsLrOHAfOdfOIB6fNusQz7FVTm293sfcTZtgv9BeQktYbuzdNihwTw4JIsir6W/ZUYFjNuIZb5Q==" saltValue="2Zxg71tgKGBC6gltmizEI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Q9" t="s">
        <v>346</v>
      </c>
    </row>
    <row r="10" spans="5:43"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Q10" t="s">
        <v>336</v>
      </c>
    </row>
    <row r="11" spans="5:43"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DxRhI9Ld2PQT2XUUgkI7/ERX0TxNa1BgoQBEfdVt8Hd0xQRbaIqJnh8SGabC1azzmIBlb5tqjxCoRGTfoZemzg==" saltValue="Qf6/QUkdI3lqLlgacTE9W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3"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VtwWanHAb9gx/YJe4lAC1FHinMXgg1j3uPJglu/GyXoIo5hlby+A/6qexU0uZtDmVD8+QUpN6MNlVCI2DnUg==" saltValue="dfnXlTumM5W6CakWtIEdj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9"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sLVyQ3rvZT/W31cBCr7Z4vBOD8jk0fUI3SgrcAML0L+nUZSVzNQOMoz4RJgItpB4vHYoExak0SKso9LMPT28aQ==" saltValue="yqb5AgbrR9JK/dgYRVXx6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a+Xj7CSk5k8ZZOeTfTYi8YqnILk4mDbiEQmwP3yGMiyxBkGJPnWYcVRZ/IdUoQ8sDv2FaTvrykwrbwY+D424aQ==" saltValue="aNCf6i6NZ1L7S85BbGuZC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6"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7" t="s">
        <v>119</v>
      </c>
      <c r="F9" s="449" t="s">
        <v>118</v>
      </c>
      <c r="G9" s="449" t="s">
        <v>1</v>
      </c>
      <c r="H9" s="449" t="s">
        <v>3</v>
      </c>
      <c r="I9" s="449" t="s">
        <v>4</v>
      </c>
      <c r="J9" s="449" t="s">
        <v>5</v>
      </c>
      <c r="K9" s="449" t="s">
        <v>6</v>
      </c>
      <c r="L9" s="449" t="s">
        <v>7</v>
      </c>
      <c r="M9" s="449" t="s">
        <v>8</v>
      </c>
      <c r="N9" s="449"/>
      <c r="O9" s="449"/>
      <c r="P9" s="449"/>
      <c r="Q9" s="527" t="s">
        <v>447</v>
      </c>
      <c r="R9" s="449" t="s">
        <v>10</v>
      </c>
      <c r="S9" s="527" t="s">
        <v>116</v>
      </c>
      <c r="T9" s="449" t="s">
        <v>89</v>
      </c>
      <c r="U9" s="449" t="s">
        <v>12</v>
      </c>
      <c r="V9" s="449"/>
      <c r="W9" s="449" t="s">
        <v>14</v>
      </c>
      <c r="X9" s="449" t="s">
        <v>441</v>
      </c>
      <c r="Y9" s="518" t="s">
        <v>707</v>
      </c>
      <c r="Z9" s="519"/>
      <c r="AA9" s="520"/>
      <c r="AR9" t="s">
        <v>346</v>
      </c>
    </row>
    <row r="10" spans="5:44" ht="31.5" customHeight="1">
      <c r="E10" s="462"/>
      <c r="F10" s="449"/>
      <c r="G10" s="449"/>
      <c r="H10" s="449"/>
      <c r="I10" s="449"/>
      <c r="J10" s="449"/>
      <c r="K10" s="449"/>
      <c r="L10" s="449"/>
      <c r="M10" s="449" t="s">
        <v>15</v>
      </c>
      <c r="N10" s="449"/>
      <c r="O10" s="449"/>
      <c r="P10" s="449" t="s">
        <v>16</v>
      </c>
      <c r="Q10" s="462"/>
      <c r="R10" s="449"/>
      <c r="S10" s="462"/>
      <c r="T10" s="449"/>
      <c r="U10" s="449"/>
      <c r="V10" s="449"/>
      <c r="W10" s="449"/>
      <c r="X10" s="449"/>
      <c r="Y10" s="456" t="s">
        <v>708</v>
      </c>
      <c r="Z10" s="457"/>
      <c r="AA10" s="458"/>
      <c r="AR10" t="s">
        <v>336</v>
      </c>
    </row>
    <row r="11" spans="5:44" ht="78.75" customHeight="1">
      <c r="E11" s="448"/>
      <c r="F11" s="449"/>
      <c r="G11" s="449"/>
      <c r="H11" s="449"/>
      <c r="I11" s="449"/>
      <c r="J11" s="449"/>
      <c r="K11" s="449"/>
      <c r="L11" s="449"/>
      <c r="M11" s="27" t="s">
        <v>17</v>
      </c>
      <c r="N11" s="27" t="s">
        <v>18</v>
      </c>
      <c r="O11" s="27" t="s">
        <v>19</v>
      </c>
      <c r="P11" s="449"/>
      <c r="Q11" s="448"/>
      <c r="R11" s="449"/>
      <c r="S11" s="448"/>
      <c r="T11" s="449"/>
      <c r="U11" s="27" t="s">
        <v>20</v>
      </c>
      <c r="V11" s="27" t="s">
        <v>21</v>
      </c>
      <c r="W11" s="449"/>
      <c r="X11" s="449"/>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gzz/NP085WVsKEc6arIYIbVBf82vNMY/PHlj8xervltNh6gwSnMurIsO/TbtrI0tdcjMpIyoTzv80CxtQJJTxg==" saltValue="ZgwWv/DXw7etChlYXTWBz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56Lj18kfGuzs/LyTNQ5hc1986e/XsisZ/MnrUx1jYjyXSdqzpd7iAFKZq1uPl7bmhplM8FcfDMDl3Xw9B4iKrA==" saltValue="EJYltkkH2EQFNdlHdLlQT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3" display="Total"/>
    <hyperlink ref="F16" location="'Shareholding Pattern'!F63" display="Click here to go back"/>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XFC20"/>
  <sheetViews>
    <sheetView showGridLines="0" topLeftCell="A7" zoomScale="90" zoomScaleNormal="90" workbookViewId="0">
      <selection activeCell="A12" sqref="A12"/>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2" t="s">
        <v>897</v>
      </c>
      <c r="G15" s="376" t="s">
        <v>901</v>
      </c>
      <c r="H15" s="38">
        <v>3441105</v>
      </c>
      <c r="I15" s="38"/>
      <c r="J15" s="38"/>
      <c r="K15" s="380">
        <f>+IFERROR(IF(COUNT(H15:J15),ROUND(SUM(H15:J15),0),""),"")</f>
        <v>3441105</v>
      </c>
      <c r="L15" s="42">
        <f>+IFERROR(IF(COUNT(K15),ROUND(K15/'Shareholding Pattern'!$L$78*100,2),""),"")</f>
        <v>6.94</v>
      </c>
      <c r="M15" s="170">
        <f>IF(H15="","",H15)</f>
        <v>3441105</v>
      </c>
      <c r="N15" s="170"/>
      <c r="O15" s="229">
        <f>+IFERROR(IF(COUNT(M15:N15),ROUND(SUM(M15,N15),2),""),"")</f>
        <v>3441105</v>
      </c>
      <c r="P15" s="42">
        <f>+IFERROR(IF(COUNT(O15),ROUND(O15/('Shareholding Pattern'!$P$79)*100,2),""),"")</f>
        <v>6.94</v>
      </c>
      <c r="Q15" s="38"/>
      <c r="R15" s="38"/>
      <c r="S15" s="380" t="str">
        <f>+IFERROR(IF(COUNT(Q15:R15),ROUND(SUM(Q15:R15),0),""),"")</f>
        <v/>
      </c>
      <c r="T15" s="42">
        <f>+IFERROR(IF(COUNT(K15,S15),ROUND(SUM(S15,K15)/SUM('Shareholding Pattern'!$L$78,'Shareholding Pattern'!$T$78)*100,2),""),"")</f>
        <v>6.94</v>
      </c>
      <c r="U15" s="38"/>
      <c r="V15" s="14" t="str">
        <f>+IFERROR(IF(COUNT(U15),ROUND(SUM(U15)/SUM(K15)*100,2),""),0)</f>
        <v/>
      </c>
      <c r="W15" s="38">
        <v>3441105</v>
      </c>
      <c r="X15" s="228"/>
      <c r="Y15" s="38">
        <v>0</v>
      </c>
      <c r="Z15" s="38">
        <v>0</v>
      </c>
      <c r="AA15" s="38">
        <v>0</v>
      </c>
      <c r="AB15" s="10"/>
      <c r="AC15" s="10" t="e">
        <f>SUM(#REF!)</f>
        <v>#REF!</v>
      </c>
    </row>
    <row r="16" spans="5:29" ht="24.95" customHeight="1">
      <c r="E16" s="53">
        <v>2</v>
      </c>
      <c r="F16" s="382" t="s">
        <v>898</v>
      </c>
      <c r="G16" s="376" t="s">
        <v>902</v>
      </c>
      <c r="H16" s="38">
        <v>870865</v>
      </c>
      <c r="I16" s="38"/>
      <c r="J16" s="38"/>
      <c r="K16" s="380">
        <f>+IFERROR(IF(COUNT(H16:J16),ROUND(SUM(H16:J16),0),""),"")</f>
        <v>870865</v>
      </c>
      <c r="L16" s="42">
        <f>+IFERROR(IF(COUNT(K16),ROUND(K16/'Shareholding Pattern'!$L$78*100,2),""),"")</f>
        <v>1.76</v>
      </c>
      <c r="M16" s="170">
        <f>IF(H16="","",H16)</f>
        <v>870865</v>
      </c>
      <c r="N16" s="170"/>
      <c r="O16" s="229">
        <f>+IFERROR(IF(COUNT(M16:N16),ROUND(SUM(M16,N16),2),""),"")</f>
        <v>870865</v>
      </c>
      <c r="P16" s="42">
        <f>+IFERROR(IF(COUNT(O16),ROUND(O16/('Shareholding Pattern'!$P$79)*100,2),""),"")</f>
        <v>1.76</v>
      </c>
      <c r="Q16" s="38"/>
      <c r="R16" s="38"/>
      <c r="S16" s="380" t="str">
        <f>+IFERROR(IF(COUNT(Q16:R16),ROUND(SUM(Q16:R16),0),""),"")</f>
        <v/>
      </c>
      <c r="T16" s="42">
        <f>+IFERROR(IF(COUNT(K16,S16),ROUND(SUM(S16,K16)/SUM('Shareholding Pattern'!$L$78,'Shareholding Pattern'!$T$78)*100,2),""),"")</f>
        <v>1.76</v>
      </c>
      <c r="U16" s="38"/>
      <c r="V16" s="14" t="str">
        <f>+IFERROR(IF(COUNT(U16),ROUND(SUM(U16)/SUM(K16)*100,2),""),0)</f>
        <v/>
      </c>
      <c r="W16" s="38">
        <v>870865</v>
      </c>
      <c r="X16" s="228"/>
      <c r="Y16" s="38">
        <v>0</v>
      </c>
      <c r="Z16" s="38">
        <v>0</v>
      </c>
      <c r="AA16" s="38">
        <v>0</v>
      </c>
      <c r="AB16" s="10"/>
      <c r="AC16" s="10" t="e">
        <f>SUM(#REF!)</f>
        <v>#REF!</v>
      </c>
    </row>
    <row r="17" spans="5:29" ht="24.95" customHeight="1">
      <c r="E17" s="53">
        <v>3</v>
      </c>
      <c r="F17" s="382" t="s">
        <v>899</v>
      </c>
      <c r="G17" s="376" t="s">
        <v>903</v>
      </c>
      <c r="H17" s="38">
        <v>558559</v>
      </c>
      <c r="I17" s="38"/>
      <c r="J17" s="38"/>
      <c r="K17" s="380">
        <f>+IFERROR(IF(COUNT(H17:J17),ROUND(SUM(H17:J17),0),""),"")</f>
        <v>558559</v>
      </c>
      <c r="L17" s="42">
        <f>+IFERROR(IF(COUNT(K17),ROUND(K17/'Shareholding Pattern'!$L$78*100,2),""),"")</f>
        <v>1.1299999999999999</v>
      </c>
      <c r="M17" s="170">
        <f>IF(H17="","",H17)</f>
        <v>558559</v>
      </c>
      <c r="N17" s="170"/>
      <c r="O17" s="229">
        <f>+IFERROR(IF(COUNT(M17:N17),ROUND(SUM(M17,N17),2),""),"")</f>
        <v>558559</v>
      </c>
      <c r="P17" s="42">
        <f>+IFERROR(IF(COUNT(O17),ROUND(O17/('Shareholding Pattern'!$P$79)*100,2),""),"")</f>
        <v>1.1299999999999999</v>
      </c>
      <c r="Q17" s="38"/>
      <c r="R17" s="38"/>
      <c r="S17" s="380" t="str">
        <f>+IFERROR(IF(COUNT(Q17:R17),ROUND(SUM(Q17:R17),0),""),"")</f>
        <v/>
      </c>
      <c r="T17" s="42">
        <f>+IFERROR(IF(COUNT(K17,S17),ROUND(SUM(S17,K17)/SUM('Shareholding Pattern'!$L$78,'Shareholding Pattern'!$T$78)*100,2),""),"")</f>
        <v>1.1299999999999999</v>
      </c>
      <c r="U17" s="38"/>
      <c r="V17" s="14" t="str">
        <f>+IFERROR(IF(COUNT(U17),ROUND(SUM(U17)/SUM(K17)*100,2),""),0)</f>
        <v/>
      </c>
      <c r="W17" s="38">
        <v>558559</v>
      </c>
      <c r="X17" s="228"/>
      <c r="Y17" s="38">
        <v>0</v>
      </c>
      <c r="Z17" s="38">
        <v>0</v>
      </c>
      <c r="AA17" s="38">
        <v>0</v>
      </c>
      <c r="AB17" s="10"/>
      <c r="AC17" s="10" t="e">
        <f>SUM(#REF!)</f>
        <v>#REF!</v>
      </c>
    </row>
    <row r="18" spans="5:29" ht="24.95" customHeight="1">
      <c r="E18" s="53">
        <v>4</v>
      </c>
      <c r="F18" s="382" t="s">
        <v>900</v>
      </c>
      <c r="G18" s="376" t="s">
        <v>904</v>
      </c>
      <c r="H18" s="38">
        <v>517001</v>
      </c>
      <c r="I18" s="38"/>
      <c r="J18" s="38"/>
      <c r="K18" s="380">
        <f>+IFERROR(IF(COUNT(H18:J18),ROUND(SUM(H18:J18),0),""),"")</f>
        <v>517001</v>
      </c>
      <c r="L18" s="42">
        <f>+IFERROR(IF(COUNT(K18),ROUND(K18/'Shareholding Pattern'!$L$78*100,2),""),"")</f>
        <v>1.04</v>
      </c>
      <c r="M18" s="170">
        <f>IF(H18="","",H18)</f>
        <v>517001</v>
      </c>
      <c r="N18" s="170"/>
      <c r="O18" s="229">
        <f>+IFERROR(IF(COUNT(M18:N18),ROUND(SUM(M18,N18),2),""),"")</f>
        <v>517001</v>
      </c>
      <c r="P18" s="42">
        <f>+IFERROR(IF(COUNT(O18),ROUND(O18/('Shareholding Pattern'!$P$79)*100,2),""),"")</f>
        <v>1.04</v>
      </c>
      <c r="Q18" s="38"/>
      <c r="R18" s="38"/>
      <c r="S18" s="380" t="str">
        <f>+IFERROR(IF(COUNT(Q18:R18),ROUND(SUM(Q18:R18),0),""),"")</f>
        <v/>
      </c>
      <c r="T18" s="42">
        <f>+IFERROR(IF(COUNT(K18,S18),ROUND(SUM(S18,K18)/SUM('Shareholding Pattern'!$L$78,'Shareholding Pattern'!$T$78)*100,2),""),"")</f>
        <v>1.04</v>
      </c>
      <c r="U18" s="38"/>
      <c r="V18" s="14" t="str">
        <f>+IFERROR(IF(COUNT(U18),ROUND(SUM(U18)/SUM(K18)*100,2),""),0)</f>
        <v/>
      </c>
      <c r="W18" s="38">
        <v>517001</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5387530</v>
      </c>
      <c r="I20" s="44" t="str">
        <f>+IFERROR(IF(COUNT(I14:I19),ROUND(SUM(I14:I19),0),""),"")</f>
        <v/>
      </c>
      <c r="J20" s="44" t="str">
        <f>+IFERROR(IF(COUNT(J14:J19),ROUND(SUM(J14:J19),0),""),"")</f>
        <v/>
      </c>
      <c r="K20" s="44">
        <f>+IFERROR(IF(COUNT(K14:K19),ROUND(SUM(K14:K19),0),""),"")</f>
        <v>5387530</v>
      </c>
      <c r="L20" s="14">
        <f>+IFERROR(IF(COUNT(K20),ROUND(K20/'Shareholding Pattern'!$L$78*100,2),""),"")</f>
        <v>10.86</v>
      </c>
      <c r="M20" s="29">
        <f>+IFERROR(IF(COUNT(M14:M19),ROUND(SUM(M14:M19),0),""),"")</f>
        <v>5387530</v>
      </c>
      <c r="N20" s="29" t="str">
        <f>+IFERROR(IF(COUNT(N14:N19),ROUND(SUM(N14:N19),0),""),"")</f>
        <v/>
      </c>
      <c r="O20" s="29">
        <f>+IFERROR(IF(COUNT(O14:O19),ROUND(SUM(O14:O19),0),""),"")</f>
        <v>5387530</v>
      </c>
      <c r="P20" s="14">
        <f>+IFERROR(IF(COUNT(O20),ROUND(O20/('Shareholding Pattern'!$P$79)*100,2),""),"")</f>
        <v>10.86</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10.86</v>
      </c>
      <c r="U20" s="44" t="str">
        <f>+IFERROR(IF(COUNT(U14:U19),ROUND(SUM(U14:U19),0),""),"")</f>
        <v/>
      </c>
      <c r="V20" s="14" t="str">
        <f>+IFERROR(IF(COUNT(U20),ROUND(SUM(U20)/SUM(K20)*100,2),""),0)</f>
        <v/>
      </c>
      <c r="W20" s="44">
        <f>+IFERROR(IF(COUNT(W14:W19),ROUND(SUM(W14:W19),0),""),"")</f>
        <v>5387530</v>
      </c>
      <c r="X20" s="337"/>
      <c r="Y20" s="44">
        <f>+IFERROR(IF(COUNT(Y14:Y19),ROUND(SUM(Y14:Y19),0),""),"")</f>
        <v>0</v>
      </c>
      <c r="Z20" s="44">
        <f>+IFERROR(IF(COUNT(Z14:Z19),ROUND(SUM(Z14:Z19),0),""),"")</f>
        <v>0</v>
      </c>
      <c r="AA20" s="44">
        <f>+IFERROR(IF(COUNT(AA14:AA19),ROUND(SUM(AA14:AA19),0),""),"")</f>
        <v>0</v>
      </c>
    </row>
  </sheetData>
  <sheetProtection algorithmName="SHA-512" hashValue="W1zBmkEW++C/YOLYfn8m/T9LEbPCKPZfjmEmd31ok3Uep+Hi38TOeUHeuad68G7my7mjo5AzWl9O7UKq9resgw==" saltValue="Zn+FvqUqJFuJdDT4WYr4TA=="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formula1>H13</formula1>
    </dataValidation>
    <dataValidation type="whole" operator="lessThanOrEqual" allowBlank="1" showInputMessage="1" showErrorMessage="1" sqref="W13 W15:W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Q13:R13 M13:N13 H13:J13 Q15:R18 M15:N18 H15:J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formula1>K13</formula1>
    </dataValidation>
  </dataValidations>
  <hyperlinks>
    <hyperlink ref="G20" location="'Shareholding Pattern'!F44" display="Total"/>
    <hyperlink ref="F20" location="'Shareholding Pattern'!F64"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FOmgeCu3a3n7Kn17cdb8JhWwNpo705bb+XhYJHXXbq6A+ShfCSIUZO4OU6YfvP1PamNXVW9YlEcTkoqXww9vPA==" saltValue="ffJpA6+98AHFUUvbhJn51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5" display="Total"/>
    <hyperlink ref="F16" location="'Shareholding Pattern'!F38" display="Click here to go back"/>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row>
    <row r="10" spans="5:30"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row>
    <row r="11" spans="5:30"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SCH2JofYombZ6IwNSkaMtbLj3TC1aaiNiAKYpTL4dAT+3E/vCP4eO3ZYh8GZNQaHKg/jnJcwZ2JVySGYYo+hhQ==" saltValue="F50fQiqegYS2LBNnXR/Zng==" spinCount="100000"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7" t="s">
        <v>119</v>
      </c>
      <c r="F9" s="449" t="s">
        <v>118</v>
      </c>
      <c r="G9" s="449" t="s">
        <v>1</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c r="Y9" s="518" t="s">
        <v>707</v>
      </c>
      <c r="Z9" s="519"/>
      <c r="AA9" s="520"/>
    </row>
    <row r="10" spans="5:29" ht="31.5" customHeight="1">
      <c r="E10" s="462"/>
      <c r="F10" s="449"/>
      <c r="G10" s="449"/>
      <c r="H10" s="449"/>
      <c r="I10" s="449"/>
      <c r="J10" s="449"/>
      <c r="K10" s="449"/>
      <c r="L10" s="449"/>
      <c r="M10" s="449" t="s">
        <v>15</v>
      </c>
      <c r="N10" s="449"/>
      <c r="O10" s="449"/>
      <c r="P10" s="449" t="s">
        <v>16</v>
      </c>
      <c r="Q10" s="449"/>
      <c r="R10" s="462"/>
      <c r="S10" s="462"/>
      <c r="T10" s="449"/>
      <c r="U10" s="449"/>
      <c r="V10" s="449"/>
      <c r="W10" s="449"/>
      <c r="X10" s="449"/>
      <c r="Y10" s="456" t="s">
        <v>708</v>
      </c>
      <c r="Z10" s="457"/>
      <c r="AA10" s="458"/>
    </row>
    <row r="11" spans="5:29" ht="78.75" customHeight="1">
      <c r="E11" s="448"/>
      <c r="F11" s="449"/>
      <c r="G11" s="449"/>
      <c r="H11" s="449"/>
      <c r="I11" s="449"/>
      <c r="J11" s="449"/>
      <c r="K11" s="449"/>
      <c r="L11" s="449"/>
      <c r="M11" s="27" t="s">
        <v>17</v>
      </c>
      <c r="N11" s="27" t="s">
        <v>18</v>
      </c>
      <c r="O11" s="27" t="s">
        <v>19</v>
      </c>
      <c r="P11" s="449"/>
      <c r="Q11" s="449"/>
      <c r="R11" s="448"/>
      <c r="S11" s="448"/>
      <c r="T11" s="449"/>
      <c r="U11" s="27" t="s">
        <v>20</v>
      </c>
      <c r="V11" s="27" t="s">
        <v>21</v>
      </c>
      <c r="W11" s="449"/>
      <c r="X11" s="449"/>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rXghCe3lGNE6VcJH8m+RHMqdN8QMDV9wIX/IXHm2jLyJfBsjYekLhczVufMP8KZUZClR/Lcg8M5QCk0JXu2bfg==" saltValue="s2i732gudlZIJfl2o44kGg=="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Q13:R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7" display="Total"/>
    <hyperlink ref="F16" location="'Shareholding Pattern'!F48" display="Click here to go back"/>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XFC21"/>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A16" sqref="A16"/>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2</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+IFERROR(IF(COUNT(I13:I17),ROUND(SUMIF($F$13:I17,"Category",I13:I17),0),""),"")</f>
        <v>116</v>
      </c>
      <c r="J3">
        <f ca="1">+IFERROR(IF(COUNT(J13:J17),ROUND(SUMIF($F$13:J17,"Category",J13:J17),0),""),"")</f>
        <v>1565505</v>
      </c>
      <c r="K3" t="str">
        <f>+IFERROR(IF(COUNT(K13:K17),ROUND(SUMIF($F$13:K17,"Category",K13:K17),0),""),"")</f>
        <v/>
      </c>
      <c r="L3" t="str">
        <f>+IFERROR(IF(COUNT(L13:L17),ROUND(SUMIF($F$13:L17,"Category",L13:L17),0),""),"")</f>
        <v/>
      </c>
      <c r="M3">
        <f ca="1">+IFERROR(IF(COUNT(M13:M17),ROUND(SUMIF($F$13:M17,"Category",M13:M17),0),""),"")</f>
        <v>1565505</v>
      </c>
      <c r="N3">
        <f ca="1">+IFERROR(IF(COUNT(N13:N17),ROUND(SUMIF($F$13:N17,"Category",N13:N17),2),""),"")</f>
        <v>3.16</v>
      </c>
      <c r="O3">
        <f ca="1">+IFERROR(IF(COUNT(O13:O17),ROUND(SUMIF($F$13:O17,"Category",O13:O17),0),""),"")</f>
        <v>1565505</v>
      </c>
      <c r="P3" t="str">
        <f>+IFERROR(IF(COUNT(P13:P17),ROUND(SUMIF($F$13:P17,"Category",P13:P17),0),""),"")</f>
        <v/>
      </c>
      <c r="Q3">
        <f ca="1">+IFERROR(IF(COUNT(Q13:Q17),ROUND(SUMIF($F$13:Q17,"Category",Q13:Q17),0),""),"")</f>
        <v>1565505</v>
      </c>
      <c r="R3">
        <f ca="1">+IFERROR(IF(COUNT(R13:R17),ROUND(SUMIF($F$13:R17,"Category",R13:R17),2),""),"")</f>
        <v>3.16</v>
      </c>
      <c r="S3" t="str">
        <f>+IFERROR(IF(COUNT(S13:S17),ROUND(SUMIF($F$13:S17,"Category",S13:S17),0),""),"")</f>
        <v/>
      </c>
      <c r="T3" t="str">
        <f>+IFERROR(IF(COUNT(T13:T17),ROUND(SUMIF($F$13:T17,"Category",T13:T17),0),""),"")</f>
        <v/>
      </c>
      <c r="U3" t="str">
        <f>+IFERROR(IF(COUNT(U13:U17),ROUND(SUMIF($F$13:U17,"Category",U13:U17),0),""),"")</f>
        <v/>
      </c>
      <c r="V3">
        <f ca="1">+IFERROR(IF(COUNT(V13:V17),ROUND(SUMIF($F$13:V17,"Category",V13:V17),2),""),"")</f>
        <v>3.16</v>
      </c>
      <c r="W3" t="str">
        <f>+IFERROR(IF(COUNT(W13:W17),ROUND(SUMIF($F$13:W17,"Category",W13:W17),0),""),"")</f>
        <v/>
      </c>
      <c r="X3" t="str">
        <f>+IFERROR(IF(COUNT(X13:X17),ROUND(SUMIF($F$13:X17,"Category",X13:X17),2),""),"")</f>
        <v/>
      </c>
      <c r="Y3">
        <f ca="1">+IFERROR(IF(COUNT(Y13:Y17),ROUND(SUMIF($F$13:Y17,"Category",Y13:Y17),0),""),"")</f>
        <v>1565505</v>
      </c>
    </row>
    <row r="4" spans="4:54" hidden="1"/>
    <row r="5" spans="4:54" hidden="1"/>
    <row r="6" spans="4:54" hidden="1"/>
    <row r="9" spans="4:54" ht="29.25" customHeight="1">
      <c r="D9" s="527" t="s">
        <v>119</v>
      </c>
      <c r="E9" s="527" t="s">
        <v>34</v>
      </c>
      <c r="F9" s="527" t="s">
        <v>376</v>
      </c>
      <c r="G9" s="527" t="s">
        <v>118</v>
      </c>
      <c r="H9" s="449" t="s">
        <v>1</v>
      </c>
      <c r="I9" s="527" t="s">
        <v>368</v>
      </c>
      <c r="J9" s="449" t="s">
        <v>3</v>
      </c>
      <c r="K9" s="449" t="s">
        <v>4</v>
      </c>
      <c r="L9" s="449" t="s">
        <v>5</v>
      </c>
      <c r="M9" s="449" t="s">
        <v>6</v>
      </c>
      <c r="N9" s="449" t="s">
        <v>7</v>
      </c>
      <c r="O9" s="449" t="s">
        <v>8</v>
      </c>
      <c r="P9" s="449"/>
      <c r="Q9" s="449"/>
      <c r="R9" s="449"/>
      <c r="S9" s="449" t="s">
        <v>9</v>
      </c>
      <c r="T9" s="527" t="s">
        <v>447</v>
      </c>
      <c r="U9" s="527" t="s">
        <v>116</v>
      </c>
      <c r="V9" s="449" t="s">
        <v>89</v>
      </c>
      <c r="W9" s="449" t="s">
        <v>12</v>
      </c>
      <c r="X9" s="449"/>
      <c r="Y9" s="449" t="s">
        <v>14</v>
      </c>
      <c r="Z9" s="449" t="s">
        <v>441</v>
      </c>
      <c r="AA9" s="518" t="s">
        <v>707</v>
      </c>
      <c r="AB9" s="519"/>
      <c r="AC9" s="520"/>
      <c r="AV9" t="s">
        <v>34</v>
      </c>
    </row>
    <row r="10" spans="4:54" ht="31.5" customHeight="1">
      <c r="D10" s="462"/>
      <c r="E10" s="462"/>
      <c r="F10" s="462"/>
      <c r="G10" s="462"/>
      <c r="H10" s="449"/>
      <c r="I10" s="462"/>
      <c r="J10" s="449"/>
      <c r="K10" s="449"/>
      <c r="L10" s="449"/>
      <c r="M10" s="449"/>
      <c r="N10" s="449"/>
      <c r="O10" s="449" t="s">
        <v>15</v>
      </c>
      <c r="P10" s="449"/>
      <c r="Q10" s="449"/>
      <c r="R10" s="449" t="s">
        <v>16</v>
      </c>
      <c r="S10" s="449"/>
      <c r="T10" s="462"/>
      <c r="U10" s="462"/>
      <c r="V10" s="449"/>
      <c r="W10" s="449"/>
      <c r="X10" s="449"/>
      <c r="Y10" s="449"/>
      <c r="Z10" s="449"/>
      <c r="AA10" s="456" t="s">
        <v>708</v>
      </c>
      <c r="AB10" s="457"/>
      <c r="AC10" s="458"/>
      <c r="AV10" t="s">
        <v>379</v>
      </c>
    </row>
    <row r="11" spans="4:54" ht="45">
      <c r="D11" s="448"/>
      <c r="E11" s="448"/>
      <c r="F11" s="448"/>
      <c r="G11" s="448"/>
      <c r="H11" s="449"/>
      <c r="I11" s="448"/>
      <c r="J11" s="449"/>
      <c r="K11" s="449"/>
      <c r="L11" s="449"/>
      <c r="M11" s="449"/>
      <c r="N11" s="449"/>
      <c r="O11" s="27" t="s">
        <v>17</v>
      </c>
      <c r="P11" s="27" t="s">
        <v>18</v>
      </c>
      <c r="Q11" s="27" t="s">
        <v>19</v>
      </c>
      <c r="R11" s="449"/>
      <c r="S11" s="449"/>
      <c r="T11" s="448"/>
      <c r="U11" s="448"/>
      <c r="V11" s="449"/>
      <c r="W11" s="27" t="s">
        <v>20</v>
      </c>
      <c r="X11" s="27" t="s">
        <v>21</v>
      </c>
      <c r="Y11" s="449"/>
      <c r="Z11" s="449"/>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5" t="s">
        <v>336</v>
      </c>
      <c r="F15" s="375" t="s">
        <v>34</v>
      </c>
      <c r="G15" s="373"/>
      <c r="H15" s="374"/>
      <c r="I15" s="38">
        <v>116</v>
      </c>
      <c r="J15" s="38">
        <v>1565505</v>
      </c>
      <c r="K15" s="38"/>
      <c r="L15" s="38"/>
      <c r="M15" s="383">
        <f>+IFERROR(IF(COUNT(J15:L15),ROUND(SUM(J15:L15),0),""),"")</f>
        <v>1565505</v>
      </c>
      <c r="N15" s="187">
        <f>+IFERROR(IF(COUNT(M15),ROUND(M15/'Shareholding Pattern'!$L$78*100,2),""),"")</f>
        <v>3.16</v>
      </c>
      <c r="O15" s="38">
        <f>IF(J15="","",J15)</f>
        <v>1565505</v>
      </c>
      <c r="P15" s="38"/>
      <c r="Q15" s="383">
        <f>+IFERROR(IF(COUNT(O15:P15),ROUND(SUM(O15,P15),2),""),"")</f>
        <v>1565505</v>
      </c>
      <c r="R15" s="187">
        <f>+IFERROR(IF(COUNT(Q15),ROUND(Q15/('Shareholding Pattern'!$P$79)*100,2),""),"")</f>
        <v>3.16</v>
      </c>
      <c r="S15" s="38"/>
      <c r="T15" s="38"/>
      <c r="U15" s="383" t="str">
        <f>+IFERROR(IF(COUNT(S15:T15),ROUND(SUM(S15:T15),0),""),"")</f>
        <v/>
      </c>
      <c r="V15" s="187">
        <f>+IFERROR(IF(COUNT(M15,U15),ROUND(SUM(U15,M15)/SUM('Shareholding Pattern'!$L$78,'Shareholding Pattern'!$T$78)*100,2),""),"")</f>
        <v>3.16</v>
      </c>
      <c r="W15" s="38"/>
      <c r="X15" s="186" t="str">
        <f>+IFERROR(IF(COUNT(W15),ROUND(SUM(W15)/SUM(M15)*100,2),""),0)</f>
        <v/>
      </c>
      <c r="Y15" s="38">
        <v>1565505</v>
      </c>
      <c r="Z15" s="228"/>
      <c r="AA15" s="38">
        <v>0</v>
      </c>
      <c r="AB15" s="38">
        <v>0</v>
      </c>
      <c r="AC15" s="38">
        <v>0</v>
      </c>
    </row>
    <row r="16" spans="4:54" ht="24.75" customHeight="1">
      <c r="D16" s="74">
        <v>2</v>
      </c>
      <c r="E16" s="375" t="s">
        <v>336</v>
      </c>
      <c r="F16" s="375" t="s">
        <v>379</v>
      </c>
      <c r="G16" s="375" t="s">
        <v>913</v>
      </c>
      <c r="H16" s="376" t="s">
        <v>914</v>
      </c>
      <c r="I16" s="377">
        <v>1</v>
      </c>
      <c r="J16" s="38">
        <v>529900</v>
      </c>
      <c r="K16" s="38"/>
      <c r="L16" s="38"/>
      <c r="M16" s="383">
        <f>+IFERROR(IF(COUNT(J16:L16),ROUND(SUM(J16:L16),0),""),"")</f>
        <v>529900</v>
      </c>
      <c r="N16" s="187">
        <f>+IFERROR(IF(COUNT(M16),ROUND(M16/'Shareholding Pattern'!$L$78*100,2),""),"")</f>
        <v>1.07</v>
      </c>
      <c r="O16" s="38">
        <f>IF(J16="","",J16)</f>
        <v>529900</v>
      </c>
      <c r="P16" s="38"/>
      <c r="Q16" s="383">
        <f>+IFERROR(IF(COUNT(O16:P16),ROUND(SUM(O16,P16),2),""),"")</f>
        <v>529900</v>
      </c>
      <c r="R16" s="187">
        <f>+IFERROR(IF(COUNT(Q16),ROUND(Q16/('Shareholding Pattern'!$P$79)*100,2),""),"")</f>
        <v>1.07</v>
      </c>
      <c r="S16" s="38"/>
      <c r="T16" s="38"/>
      <c r="U16" s="383" t="str">
        <f>+IFERROR(IF(COUNT(S16:T16),ROUND(SUM(S16:T16),0),""),"")</f>
        <v/>
      </c>
      <c r="V16" s="187">
        <f>+IFERROR(IF(COUNT(M16,U16),ROUND(SUM(U16,M16)/SUM('Shareholding Pattern'!$L$78,'Shareholding Pattern'!$T$78)*100,2),""),"")</f>
        <v>1.07</v>
      </c>
      <c r="W16" s="38"/>
      <c r="X16" s="186" t="str">
        <f>+IFERROR(IF(COUNT(W16),ROUND(SUM(W16)/SUM(M16)*100,2),""),0)</f>
        <v/>
      </c>
      <c r="Y16" s="38">
        <v>529900</v>
      </c>
      <c r="Z16" s="228"/>
      <c r="AA16" s="38">
        <v>0</v>
      </c>
      <c r="AB16" s="38">
        <v>0</v>
      </c>
      <c r="AC16" s="38">
        <v>0</v>
      </c>
    </row>
    <row r="17" spans="4:29">
      <c r="D17" s="34"/>
      <c r="K17" s="169"/>
      <c r="L17" s="169"/>
      <c r="O17" s="169"/>
      <c r="P17" s="169"/>
      <c r="W17" s="169"/>
      <c r="Y17" s="35"/>
      <c r="Z17" s="35"/>
      <c r="AA17" s="35"/>
      <c r="AB17" s="35"/>
      <c r="AC17" s="36"/>
    </row>
    <row r="18" spans="4:29" ht="24.95" customHeight="1">
      <c r="D18" s="107"/>
      <c r="E18" s="30"/>
      <c r="F18" s="30"/>
      <c r="G18" s="49" t="s">
        <v>392</v>
      </c>
      <c r="H18" s="49" t="s">
        <v>19</v>
      </c>
      <c r="I18" s="52">
        <f ca="1">+IFERROR(IF(COUNT(I13:I17),ROUND(SUMIF($F$13:I17,"Category",I13:I17),0),""),"")</f>
        <v>116</v>
      </c>
      <c r="J18" s="52">
        <f ca="1">+IFERROR(IF(COUNT(J13:J17),ROUND(SUMIF($F$13:J17,"Category",J13:J17),0),""),"")</f>
        <v>1565505</v>
      </c>
      <c r="K18" s="52" t="str">
        <f>+IFERROR(IF(COUNT(K13:K17),ROUND(SUMIF($F$13:K17,"Category",K13:K17),0),""),"")</f>
        <v/>
      </c>
      <c r="L18" s="52" t="str">
        <f>+IFERROR(IF(COUNT(L13:L17),ROUND(SUMIF($F$13:L17,"Category",L13:L17),0),""),"")</f>
        <v/>
      </c>
      <c r="M18" s="52">
        <f ca="1">+IFERROR(IF(COUNT(M13:M17),ROUND(SUMIF($F$13:M17,"Category",M13:M17),0),""),"")</f>
        <v>1565505</v>
      </c>
      <c r="N18" s="186">
        <f ca="1">+IFERROR(IF(COUNT(N13:N17),ROUND(SUMIF($F$13:N17,"Category",N13:N17),2),""),"")</f>
        <v>3.16</v>
      </c>
      <c r="O18" s="160">
        <f ca="1">+IFERROR(IF(COUNT(O13:O17),ROUND(SUMIF($F$13:O17,"Category",O13:O17),0),""),"")</f>
        <v>1565505</v>
      </c>
      <c r="P18" s="160" t="str">
        <f>+IFERROR(IF(COUNT(P13:P17),ROUND(SUMIF($F$13:P17,"Category",P13:P17),0),""),"")</f>
        <v/>
      </c>
      <c r="Q18" s="160">
        <f ca="1">+IFERROR(IF(COUNT(Q13:Q17),ROUND(SUMIF($F$13:Q17,"Category",Q13:Q17),0),""),"")</f>
        <v>1565505</v>
      </c>
      <c r="R18" s="186">
        <f ca="1">+IFERROR(IF(COUNT(R13:R17),ROUND(SUMIF($F$13:R17,"Category",R13:R17),2),""),"")</f>
        <v>3.16</v>
      </c>
      <c r="S18" s="52" t="str">
        <f>+IFERROR(IF(COUNT(S13:S17),ROUND(SUMIF($F$13:S17,"Category",S13:S17),0),""),"")</f>
        <v/>
      </c>
      <c r="T18" s="52" t="str">
        <f>+IFERROR(IF(COUNT(T13:T17),ROUND(SUMIF($F$13:T17,"Category",T13:T17),0),""),"")</f>
        <v/>
      </c>
      <c r="U18" s="52" t="str">
        <f>+IFERROR(IF(COUNT(U13:U17),ROUND(SUMIF($F$13:U17,"Category",U13:U17),0),""),"")</f>
        <v/>
      </c>
      <c r="V18" s="186">
        <f ca="1">+IFERROR(IF(COUNT(V13:V17),ROUND(SUMIF($F$13:V17,"Category",V13:V17),2),""),"")</f>
        <v>3.16</v>
      </c>
      <c r="W18" s="52" t="str">
        <f>+IFERROR(IF(COUNT(W13:W17),ROUND(SUMIF($F$13:W17,"Category",W13:W17),0),""),"")</f>
        <v/>
      </c>
      <c r="X18" s="186" t="str">
        <f>+IFERROR(IF(COUNT(W18),ROUND(SUM(W18)/SUM(M18)*100,2),""),0)</f>
        <v/>
      </c>
      <c r="Y18" s="52">
        <f ca="1">+IFERROR(IF(COUNT(Y13:Y17),ROUND(SUMIF($F$13:Y17,"Category",Y13:Y17),0),""),"")</f>
        <v>1565505</v>
      </c>
      <c r="Z18" s="337"/>
      <c r="AA18" s="52">
        <f ca="1">+IFERROR(IF(COUNT(AA13:AA17),ROUND(SUMIF($F$13:AA17,"Category",AA13:AA17),0),""),"")</f>
        <v>0</v>
      </c>
      <c r="AB18" s="52">
        <f ca="1">+IFERROR(IF(COUNT(AB13:AB17),ROUND(SUMIF($F$13:AB17,"Category",AB13:AB17),0),""),"")</f>
        <v>0</v>
      </c>
      <c r="AC18" s="52">
        <f ca="1">+IFERROR(IF(COUNT(AC13:AC17),ROUND(SUMIF($F$13:AC17,"Category",AC13:AC17),0),""),"")</f>
        <v>0</v>
      </c>
    </row>
    <row r="21" spans="4:29">
      <c r="G21" s="17"/>
    </row>
  </sheetData>
  <sheetProtection algorithmName="SHA-512" hashValue="hsjpQHofEHl/hymNTiyhKiejVCBYqSZ84qgbMcrj/j10+oLsjRGyXNa6yMJyZqfEhTDpwOgRxExcL7r9WcFsiA==" saltValue="3gu6VS1k9j2EoeLYlgstfg=="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Y16">
      <formula1>M13</formula1>
    </dataValidation>
    <dataValidation type="whole" operator="lessThanOrEqual" allowBlank="1" showInputMessage="1" showErrorMessage="1" sqref="W13 W15:W16">
      <formula1>J13</formula1>
    </dataValidation>
    <dataValidation type="whole" operator="greaterThanOrEqual" allowBlank="1" showInputMessage="1" showErrorMessage="1" sqref="O13:P13 J13:L13 S13:T13 O15:P16 J15:L16 S15:T16">
      <formula1>0</formula1>
    </dataValidation>
    <dataValidation type="textLength" operator="equal" allowBlank="1" showInputMessage="1" showErrorMessage="1" prompt="[A-Z][A-Z][A-Z][A-Z][A-Z][0-9][0-9][0-9][0-9][A-Z]_x000a__x000a_In absence of PAN write : ZZZZZ9999Z" sqref="H13 H15:H16">
      <formula1>10</formula1>
    </dataValidation>
    <dataValidation type="list" allowBlank="1" showInputMessage="1" showErrorMessage="1" sqref="F13 F15:F16">
      <formula1>$AV$9:$AV$10</formula1>
    </dataValidation>
    <dataValidation type="list" allowBlank="1" showInputMessage="1" showErrorMessage="1" sqref="E13 E15:E16">
      <formula1>$AE$1:$BB$1</formula1>
    </dataValidation>
    <dataValidation type="whole" operator="greaterThan" allowBlank="1" showInputMessage="1" showErrorMessage="1" sqref="I13 I15:I16">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6">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6">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6">
      <formula1>M13</formula1>
    </dataValidation>
  </dataValidations>
  <hyperlinks>
    <hyperlink ref="H18" location="'Shareholding Pattern'!F48" display="Total"/>
    <hyperlink ref="G18" location="'Shareholding Pattern'!F69" display="Click here to go back"/>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51205" r:id="rId5" name="Button 5">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abSelected="1" topLeftCell="C7" workbookViewId="0">
      <selection activeCell="G12" sqref="G12"/>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39" t="s">
        <v>841</v>
      </c>
      <c r="E8" s="540"/>
      <c r="F8" s="541"/>
      <c r="G8" s="361"/>
    </row>
    <row r="9" spans="4:14" ht="31.5">
      <c r="D9" s="344" t="s">
        <v>107</v>
      </c>
      <c r="E9" s="344" t="s">
        <v>857</v>
      </c>
      <c r="F9" s="344" t="s">
        <v>849</v>
      </c>
      <c r="G9" s="362"/>
    </row>
    <row r="10" spans="4:14" ht="20.100000000000001" customHeight="1">
      <c r="D10" s="264" t="s">
        <v>842</v>
      </c>
      <c r="E10" s="358">
        <v>100</v>
      </c>
      <c r="F10" s="359">
        <v>0.02</v>
      </c>
      <c r="G10" s="363"/>
      <c r="K10">
        <v>0</v>
      </c>
      <c r="L10">
        <v>0</v>
      </c>
      <c r="M10">
        <v>0</v>
      </c>
      <c r="N10">
        <v>0</v>
      </c>
    </row>
    <row r="11" spans="4:14" ht="20.100000000000001" customHeight="1">
      <c r="D11" s="265" t="s">
        <v>843</v>
      </c>
      <c r="E11" s="358">
        <v>100</v>
      </c>
      <c r="F11" s="358">
        <v>0.02</v>
      </c>
      <c r="G11" s="363"/>
      <c r="K11">
        <v>0</v>
      </c>
      <c r="L11">
        <v>0</v>
      </c>
      <c r="M11">
        <v>0</v>
      </c>
      <c r="N11">
        <v>0</v>
      </c>
    </row>
    <row r="12" spans="4:14" ht="20.100000000000001" customHeight="1">
      <c r="D12" s="265" t="s">
        <v>844</v>
      </c>
      <c r="E12" s="358">
        <v>100</v>
      </c>
      <c r="F12" s="358">
        <v>0.02</v>
      </c>
      <c r="G12" s="363"/>
      <c r="K12">
        <v>0</v>
      </c>
      <c r="L12">
        <v>0</v>
      </c>
      <c r="M12">
        <v>0</v>
      </c>
      <c r="N12">
        <v>0</v>
      </c>
    </row>
    <row r="13" spans="4:14">
      <c r="D13" s="265" t="s">
        <v>845</v>
      </c>
      <c r="E13" s="358">
        <v>100</v>
      </c>
      <c r="F13" s="358">
        <v>0.02</v>
      </c>
      <c r="G13" s="363"/>
      <c r="K13">
        <v>0</v>
      </c>
      <c r="L13">
        <v>0</v>
      </c>
      <c r="M13">
        <v>0</v>
      </c>
      <c r="N13">
        <v>0</v>
      </c>
    </row>
    <row r="14" spans="4:14" ht="21.75" customHeight="1">
      <c r="D14" s="267" t="s">
        <v>846</v>
      </c>
      <c r="E14" s="360">
        <v>100</v>
      </c>
      <c r="F14" s="360">
        <v>0.02</v>
      </c>
      <c r="G14" s="363"/>
      <c r="K14">
        <v>0</v>
      </c>
      <c r="L14">
        <v>0</v>
      </c>
      <c r="M14">
        <v>0</v>
      </c>
      <c r="N14">
        <v>0</v>
      </c>
    </row>
    <row r="15" spans="4:14" ht="91.5" customHeight="1">
      <c r="D15" s="543" t="s">
        <v>856</v>
      </c>
      <c r="E15" s="544"/>
      <c r="F15" s="545"/>
    </row>
    <row r="16" spans="4:14" ht="15" customHeight="1">
      <c r="D16" s="542"/>
      <c r="E16" s="542"/>
      <c r="F16" s="69"/>
    </row>
  </sheetData>
  <sheetProtection algorithmName="SHA-512" hashValue="02mDwtaYtfIAIec69e5EbQe7L1KeDN92ok+ZAEmKDuhKTzlifP7brtpVxA/mBM4Lmm0wX5vB7GZmVpXwt8i+1Q==" saltValue="78Bg+57JzuY2I4XRRJzPe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46" t="s">
        <v>122</v>
      </c>
      <c r="D9" s="527" t="s">
        <v>34</v>
      </c>
      <c r="E9" s="449" t="s">
        <v>121</v>
      </c>
      <c r="F9" s="449" t="s">
        <v>118</v>
      </c>
      <c r="G9" s="449" t="s">
        <v>1</v>
      </c>
      <c r="H9" s="449" t="s">
        <v>368</v>
      </c>
      <c r="I9" s="449" t="s">
        <v>3</v>
      </c>
      <c r="J9" s="449" t="s">
        <v>4</v>
      </c>
      <c r="K9" s="449" t="s">
        <v>5</v>
      </c>
      <c r="L9" s="449" t="s">
        <v>6</v>
      </c>
      <c r="M9" s="449" t="s">
        <v>7</v>
      </c>
      <c r="N9" s="449" t="s">
        <v>8</v>
      </c>
      <c r="O9" s="449"/>
      <c r="P9" s="449"/>
      <c r="Q9" s="449"/>
      <c r="R9" s="449" t="s">
        <v>9</v>
      </c>
      <c r="S9" s="527" t="s">
        <v>447</v>
      </c>
      <c r="T9" s="527" t="s">
        <v>116</v>
      </c>
      <c r="U9" s="449" t="s">
        <v>89</v>
      </c>
      <c r="V9" s="449" t="s">
        <v>12</v>
      </c>
      <c r="W9" s="449"/>
      <c r="X9" s="449" t="s">
        <v>14</v>
      </c>
      <c r="Y9" s="449" t="s">
        <v>441</v>
      </c>
    </row>
    <row r="10" spans="3:30" ht="31.5" customHeight="1">
      <c r="C10" s="547"/>
      <c r="D10" s="462"/>
      <c r="E10" s="449"/>
      <c r="F10" s="449"/>
      <c r="G10" s="449"/>
      <c r="H10" s="449"/>
      <c r="I10" s="449"/>
      <c r="J10" s="449"/>
      <c r="K10" s="449"/>
      <c r="L10" s="449"/>
      <c r="M10" s="449"/>
      <c r="N10" s="449" t="s">
        <v>15</v>
      </c>
      <c r="O10" s="449"/>
      <c r="P10" s="449"/>
      <c r="Q10" s="449" t="s">
        <v>16</v>
      </c>
      <c r="R10" s="449"/>
      <c r="S10" s="462"/>
      <c r="T10" s="462"/>
      <c r="U10" s="449"/>
      <c r="V10" s="449"/>
      <c r="W10" s="449"/>
      <c r="X10" s="449"/>
      <c r="Y10" s="449"/>
    </row>
    <row r="11" spans="3:30" ht="78.75" customHeight="1">
      <c r="C11" s="548"/>
      <c r="D11" s="448"/>
      <c r="E11" s="449"/>
      <c r="F11" s="449"/>
      <c r="G11" s="449"/>
      <c r="H11" s="449"/>
      <c r="I11" s="449"/>
      <c r="J11" s="449"/>
      <c r="K11" s="449"/>
      <c r="L11" s="449"/>
      <c r="M11" s="449"/>
      <c r="N11" s="27" t="s">
        <v>17</v>
      </c>
      <c r="O11" s="27" t="s">
        <v>18</v>
      </c>
      <c r="P11" s="27" t="s">
        <v>19</v>
      </c>
      <c r="Q11" s="449"/>
      <c r="R11" s="449"/>
      <c r="S11" s="448"/>
      <c r="T11" s="448"/>
      <c r="U11" s="449"/>
      <c r="V11" s="27" t="s">
        <v>20</v>
      </c>
      <c r="W11" s="27" t="s">
        <v>21</v>
      </c>
      <c r="X11" s="449"/>
      <c r="Y11" s="449"/>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PTBe7PvJHvmEtgF91ppccM94AbihIMuUF8VT6YB2LuK3DjJS3z33nhBTuf3wro42kyKHnL95x00u+2+AcoUC1w==" saltValue="o027FNSuBlqAMqT7ccaphw=="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formula1>L13</formula1>
    </dataValidation>
    <dataValidation type="whole" operator="lessThanOrEqual" allowBlank="1" showInputMessage="1" showErrorMessage="1" sqref="V13">
      <formula1>I13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S13 I13:K13 N13:O13">
      <formula1>0</formula1>
    </dataValidation>
    <dataValidation type="whole" operator="greaterThan" allowBlank="1" showInputMessage="1" showErrorMessage="1" sqref="H13">
      <formula1>0</formula1>
    </dataValidation>
    <dataValidation type="list" allowBlank="1" showInputMessage="1" showErrorMessage="1" sqref="D13">
      <formula1>$AC$2:$AC$7</formula1>
    </dataValidation>
  </dataValidations>
  <hyperlinks>
    <hyperlink ref="G16" location="'Shareholding Pattern'!F54" display="Total"/>
    <hyperlink ref="F16" location="'Shareholding Pattern'!F75" display="Click here to go back"/>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27" t="s">
        <v>119</v>
      </c>
      <c r="E9" s="449" t="s">
        <v>118</v>
      </c>
      <c r="F9" s="449" t="s">
        <v>1</v>
      </c>
      <c r="G9" s="449" t="s">
        <v>368</v>
      </c>
      <c r="H9" s="449" t="s">
        <v>3</v>
      </c>
      <c r="I9" s="449" t="s">
        <v>4</v>
      </c>
      <c r="J9" s="449" t="s">
        <v>5</v>
      </c>
      <c r="K9" s="449" t="s">
        <v>6</v>
      </c>
      <c r="L9" s="449" t="s">
        <v>7</v>
      </c>
      <c r="M9" s="449" t="s">
        <v>8</v>
      </c>
      <c r="N9" s="449"/>
      <c r="O9" s="449"/>
      <c r="P9" s="449"/>
      <c r="Q9" s="449" t="s">
        <v>9</v>
      </c>
      <c r="R9" s="527" t="s">
        <v>447</v>
      </c>
      <c r="S9" s="527" t="s">
        <v>116</v>
      </c>
      <c r="T9" s="449" t="s">
        <v>89</v>
      </c>
      <c r="U9" s="449" t="s">
        <v>12</v>
      </c>
      <c r="V9" s="449"/>
      <c r="W9" s="449" t="s">
        <v>14</v>
      </c>
      <c r="X9" s="449" t="s">
        <v>441</v>
      </c>
    </row>
    <row r="10" spans="4:30" ht="31.5" customHeight="1">
      <c r="D10" s="462"/>
      <c r="E10" s="449"/>
      <c r="F10" s="449"/>
      <c r="G10" s="449"/>
      <c r="H10" s="449"/>
      <c r="I10" s="449"/>
      <c r="J10" s="449"/>
      <c r="K10" s="449"/>
      <c r="L10" s="449"/>
      <c r="M10" s="449" t="s">
        <v>15</v>
      </c>
      <c r="N10" s="449"/>
      <c r="O10" s="449"/>
      <c r="P10" s="449" t="s">
        <v>16</v>
      </c>
      <c r="Q10" s="449"/>
      <c r="R10" s="462"/>
      <c r="S10" s="462"/>
      <c r="T10" s="449"/>
      <c r="U10" s="449"/>
      <c r="V10" s="449"/>
      <c r="W10" s="449"/>
      <c r="X10" s="449"/>
    </row>
    <row r="11" spans="4:30" ht="45">
      <c r="D11" s="448"/>
      <c r="E11" s="449"/>
      <c r="F11" s="449"/>
      <c r="G11" s="449"/>
      <c r="H11" s="449"/>
      <c r="I11" s="449"/>
      <c r="J11" s="449"/>
      <c r="K11" s="449"/>
      <c r="L11" s="449"/>
      <c r="M11" s="27" t="s">
        <v>17</v>
      </c>
      <c r="N11" s="27" t="s">
        <v>18</v>
      </c>
      <c r="O11" s="27" t="s">
        <v>19</v>
      </c>
      <c r="P11" s="449"/>
      <c r="Q11" s="449"/>
      <c r="R11" s="448"/>
      <c r="S11" s="448"/>
      <c r="T11" s="449"/>
      <c r="U11" s="27" t="s">
        <v>20</v>
      </c>
      <c r="V11" s="27" t="s">
        <v>21</v>
      </c>
      <c r="W11" s="449"/>
      <c r="X11" s="449"/>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omF0wzJJnl74ecVWXvpduLB8qlV2L4FMROo/URdUezZnHJ3r/lMT8b/I1IJJd5W8qzPky2HutOh9LVlKMgR9jw==" saltValue="2I7niJDaNCzD/wvyZVEuuA==" spinCount="100000" sheet="1" objects="1" scenarios="1"/>
  <mergeCells count="19">
    <mergeCell ref="P10:P11"/>
    <mergeCell ref="F9:F11"/>
    <mergeCell ref="G9:G11"/>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s>
  <dataValidations count="5">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Q13:R13 H13:J13 M13:N13">
      <formula1>0</formula1>
    </dataValidation>
    <dataValidation type="whole" operator="greaterThan" allowBlank="1" showInputMessage="1" showErrorMessage="1" sqref="G13">
      <formula1>0</formula1>
    </dataValidation>
  </dataValidations>
  <hyperlinks>
    <hyperlink ref="F16" location="'Shareholding Pattern'!F55" display="Total"/>
    <hyperlink ref="E16" location="'Shareholding Pattern'!F76" display="Click here to go back"/>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50" t="s">
        <v>375</v>
      </c>
      <c r="F9" s="451"/>
      <c r="G9" s="451"/>
      <c r="H9" s="451"/>
      <c r="I9" s="452"/>
      <c r="J9" s="17"/>
    </row>
    <row r="10" spans="5:10">
      <c r="E10" s="527" t="s">
        <v>119</v>
      </c>
      <c r="F10" s="527" t="s">
        <v>126</v>
      </c>
      <c r="G10" s="527" t="s">
        <v>127</v>
      </c>
      <c r="H10" s="527" t="s">
        <v>325</v>
      </c>
      <c r="I10" s="527" t="s">
        <v>326</v>
      </c>
      <c r="J10" s="17"/>
    </row>
    <row r="11" spans="5:10">
      <c r="E11" s="549"/>
      <c r="F11" s="462"/>
      <c r="G11" s="462"/>
      <c r="H11" s="462"/>
      <c r="I11" s="462"/>
      <c r="J11" s="17"/>
    </row>
    <row r="12" spans="5:10">
      <c r="E12" s="550"/>
      <c r="F12" s="448"/>
      <c r="G12" s="448"/>
      <c r="H12" s="448"/>
      <c r="I12" s="448"/>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e3bPbSvtiSnzDFJBfRJQEJ4MI0pQb2iySiQcvwMXu9xVR5Hy7j2sjG3Ik3jasIcD6o/ing/wAnicwiH8j8Y9iw==" saltValue="63ub6fRv/dveCXknjK4qx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B49"/>
  <sheetViews>
    <sheetView workbookViewId="0">
      <selection activeCell="I8" sqref="I8"/>
    </sheetView>
  </sheetViews>
  <sheetFormatPr defaultRowHeight="15"/>
  <sheetData>
    <row r="1" spans="2:2">
      <c r="B1" s="297"/>
    </row>
    <row r="2" spans="2:2">
      <c r="B2" s="297"/>
    </row>
    <row r="3" spans="2:2">
      <c r="B3" s="297"/>
    </row>
    <row r="4" spans="2:2">
      <c r="B4" s="297"/>
    </row>
    <row r="5" spans="2:2">
      <c r="B5" s="297"/>
    </row>
    <row r="6" spans="2:2">
      <c r="B6" s="297"/>
    </row>
    <row r="7" spans="2:2">
      <c r="B7" s="297"/>
    </row>
    <row r="8" spans="2:2">
      <c r="B8" s="297"/>
    </row>
    <row r="9" spans="2:2">
      <c r="B9" s="297"/>
    </row>
    <row r="10" spans="2:2">
      <c r="B10" s="297"/>
    </row>
    <row r="11" spans="2:2">
      <c r="B11" s="297"/>
    </row>
    <row r="12" spans="2:2">
      <c r="B12" s="297"/>
    </row>
    <row r="13" spans="2:2">
      <c r="B13" s="297"/>
    </row>
    <row r="14" spans="2:2">
      <c r="B14" s="297"/>
    </row>
    <row r="15" spans="2:2">
      <c r="B15" s="297"/>
    </row>
    <row r="16" spans="2:2">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53" t="s">
        <v>370</v>
      </c>
      <c r="E9" s="554"/>
      <c r="F9" s="554"/>
      <c r="G9" s="554"/>
      <c r="H9" s="555"/>
    </row>
    <row r="10" spans="4:9">
      <c r="D10" s="527" t="s">
        <v>119</v>
      </c>
      <c r="E10" s="527" t="s">
        <v>546</v>
      </c>
      <c r="F10" s="527" t="s">
        <v>128</v>
      </c>
      <c r="G10" s="527" t="s">
        <v>129</v>
      </c>
      <c r="H10" s="527" t="s">
        <v>130</v>
      </c>
    </row>
    <row r="11" spans="4:9">
      <c r="D11" s="551"/>
      <c r="E11" s="551"/>
      <c r="F11" s="462"/>
      <c r="G11" s="462"/>
      <c r="H11" s="462"/>
    </row>
    <row r="12" spans="4:9">
      <c r="D12" s="552"/>
      <c r="E12" s="552"/>
      <c r="F12" s="448"/>
      <c r="G12" s="448"/>
      <c r="H12" s="448"/>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50" t="s">
        <v>371</v>
      </c>
      <c r="F9" s="451"/>
      <c r="G9" s="451"/>
      <c r="H9" s="451"/>
      <c r="I9" s="83"/>
    </row>
    <row r="10" spans="5:9">
      <c r="E10" s="527" t="s">
        <v>119</v>
      </c>
      <c r="F10" s="527" t="s">
        <v>126</v>
      </c>
      <c r="G10" s="527" t="s">
        <v>127</v>
      </c>
      <c r="H10" s="527" t="s">
        <v>131</v>
      </c>
      <c r="I10" s="556" t="s">
        <v>327</v>
      </c>
    </row>
    <row r="11" spans="5:9">
      <c r="E11" s="551"/>
      <c r="F11" s="462"/>
      <c r="G11" s="462"/>
      <c r="H11" s="462"/>
      <c r="I11" s="557"/>
    </row>
    <row r="12" spans="5:9">
      <c r="E12" s="552"/>
      <c r="F12" s="448"/>
      <c r="G12" s="448"/>
      <c r="H12" s="448"/>
      <c r="I12" s="558"/>
    </row>
    <row r="13" spans="5:9" hidden="1">
      <c r="E13" s="53"/>
      <c r="F13" s="13"/>
      <c r="G13" s="81"/>
      <c r="H13" s="81"/>
      <c r="I13" s="84"/>
    </row>
    <row r="14" spans="5:9" ht="24.75" customHeight="1">
      <c r="E14" s="2"/>
      <c r="F14" s="35"/>
      <c r="G14" s="35"/>
      <c r="H14" s="35"/>
      <c r="I14" s="208" t="s">
        <v>392</v>
      </c>
    </row>
  </sheetData>
  <sheetProtection algorithmName="SHA-512" hashValue="u9V2rtvEEg+aBDSYx/efJ/X5A2CNfWIa+ysH3GVBIL7Ja+np8cTMQ2mhOuppro14dk4d8JUUTsD09PIknqWGPg==" saltValue="x8zS/3Jf8PmYk0SK4JOOE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User</cp:lastModifiedBy>
  <cp:lastPrinted>2016-09-08T06:44:45Z</cp:lastPrinted>
  <dcterms:created xsi:type="dcterms:W3CDTF">2015-12-16T12:56:50Z</dcterms:created>
  <dcterms:modified xsi:type="dcterms:W3CDTF">2024-04-18T08:55:06Z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